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jpeg" ContentType="image/jpeg"/>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xl/ctrlProps/ctrlProp9.xml" ContentType="application/vnd.ms-excel.controlproperties+xml"/>
  <Override PartName="/xl/ctrlProps/ctrlProp15.xml" ContentType="application/vnd.ms-excel.controlpropertie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trlProps/ctrlProp14.xml" ContentType="application/vnd.ms-excel.controlproperties+xml"/>
  <Override PartName="/xl/ctrlProps/ctrlProp8.xml" ContentType="application/vnd.ms-excel.controlproperties+xml"/>
  <Override PartName="/xl/ctrlProps/ctrlProp13.xml" ContentType="application/vnd.ms-excel.controlproperties+xml"/>
  <Override PartName="/xl/ctrlProps/ctrlProp7.xml" ContentType="application/vnd.ms-excel.controlproperties+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ctrlProps/ctrlProp12.xml" ContentType="application/vnd.ms-excel.controlproperties+xml"/>
  <Override PartName="/xl/ctrlProps/ctrlProp11.xml" ContentType="application/vnd.ms-excel.controlproperties+xml"/>
  <Override PartName="/xl/ctrlProps/ctrlProp6.xml" ContentType="application/vnd.ms-excel.controlproperties+xml"/>
  <Override PartName="/xl/ctrlProps/ctrlProp5.xml" ContentType="application/vnd.ms-excel.controlproperties+xml"/>
  <Override PartName="/xl/sharedStrings.xml" ContentType="application/vnd.openxmlformats-officedocument.spreadsheetml.sharedStrings+xml"/>
  <Override PartName="/xl/ctrlProps/ctrlProp4.xml" ContentType="application/vnd.ms-excel.controlproperties+xml"/>
  <Override PartName="/xl/ctrlProps/ctrlProp3.xml" ContentType="application/vnd.ms-excel.controlproperties+xml"/>
  <Override PartName="/xl/ctrlProps/ctrlProp10.xml" ContentType="application/vnd.ms-excel.controlproperties+xml"/>
  <Override PartName="/xl/ctrlProps/ctrlProp2.xml" ContentType="application/vnd.ms-excel.controlproperties+xml"/>
  <Override PartName="/xl/ctrlProps/ctrlProp1.xml" ContentType="application/vnd.ms-excel.contro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codeName="ThisWorkbook" defaultThemeVersion="124226"/>
  <bookViews>
    <workbookView xWindow="0" yWindow="0" windowWidth="19200" windowHeight="9525" tabRatio="478"/>
  </bookViews>
  <sheets>
    <sheet name="Form" sheetId="1" r:id="rId1"/>
    <sheet name="Modules" sheetId="2" r:id="rId2"/>
    <sheet name="Regulator" sheetId="3" r:id="rId3"/>
    <sheet name="Calculation table" sheetId="4" r:id="rId4"/>
    <sheet name="Language" sheetId="10" state="hidden" r:id="rId5"/>
    <sheet name="Version" sheetId="9" r:id="rId6"/>
  </sheets>
  <definedNames>
    <definedName name="_xlnm.Print_Area" localSheetId="0">Form!$A$1:$H$29</definedName>
  </definedNames>
  <calcPr calcId="125725"/>
</workbook>
</file>

<file path=xl/calcChain.xml><?xml version="1.0" encoding="utf-8"?>
<calcChain xmlns="http://schemas.openxmlformats.org/spreadsheetml/2006/main">
  <c r="H31" i="1"/>
  <c r="A31"/>
  <c r="B17"/>
  <c r="F16"/>
  <c r="B16"/>
  <c r="B14"/>
  <c r="G35"/>
  <c r="G40" l="1"/>
  <c r="G39"/>
  <c r="G38"/>
  <c r="G37"/>
  <c r="G36"/>
  <c r="G34"/>
  <c r="G16" l="1"/>
  <c r="B22" i="4" s="1"/>
  <c r="A16" i="2" l="1"/>
  <c r="A15"/>
  <c r="A7" i="3"/>
  <c r="A5"/>
  <c r="A6"/>
  <c r="D17" i="4" l="1"/>
  <c r="B17"/>
  <c r="F22" i="1"/>
  <c r="F18"/>
  <c r="J14"/>
  <c r="J13"/>
  <c r="J12"/>
  <c r="J11"/>
  <c r="A9" i="3"/>
  <c r="A35" i="1"/>
  <c r="A36"/>
  <c r="A37"/>
  <c r="A38"/>
  <c r="A39"/>
  <c r="A40"/>
  <c r="R1" l="1"/>
  <c r="J1"/>
  <c r="B23"/>
  <c r="F1" i="10"/>
  <c r="E1"/>
  <c r="D1"/>
  <c r="C1"/>
  <c r="B1"/>
  <c r="H33" i="1"/>
  <c r="F10"/>
  <c r="G33"/>
  <c r="D10"/>
  <c r="A34"/>
  <c r="A33"/>
  <c r="B27"/>
  <c r="B25"/>
  <c r="B22"/>
  <c r="B21"/>
  <c r="B20"/>
  <c r="B19"/>
  <c r="B18"/>
  <c r="B12"/>
  <c r="B10"/>
  <c r="E8"/>
  <c r="B8"/>
  <c r="F6"/>
  <c r="B6"/>
  <c r="B4"/>
  <c r="B7" i="4"/>
  <c r="E10" i="1" l="1"/>
  <c r="B4" i="4" s="1"/>
  <c r="B40"/>
  <c r="A4" i="3"/>
  <c r="D8" i="1"/>
  <c r="B14" i="4"/>
  <c r="B12"/>
  <c r="B13" s="1"/>
  <c r="B10"/>
  <c r="B9"/>
  <c r="B8"/>
  <c r="A17" i="2"/>
  <c r="A5"/>
  <c r="A6"/>
  <c r="A7"/>
  <c r="A8"/>
  <c r="A9"/>
  <c r="A10"/>
  <c r="A11"/>
  <c r="A12"/>
  <c r="A13"/>
  <c r="A14"/>
  <c r="B5" i="4"/>
  <c r="A45" s="1"/>
  <c r="A44" s="1"/>
  <c r="A43" s="1"/>
  <c r="A42" s="1"/>
  <c r="A2" i="2"/>
  <c r="B29" i="4"/>
  <c r="D18"/>
  <c r="B18" s="1"/>
  <c r="A8" i="3"/>
  <c r="A3"/>
  <c r="A2"/>
  <c r="A3" i="2"/>
  <c r="A4"/>
  <c r="B33" i="4"/>
  <c r="B35"/>
  <c r="B30"/>
  <c r="B32"/>
  <c r="B44" l="1"/>
  <c r="B39"/>
  <c r="B42"/>
  <c r="B38"/>
  <c r="B41"/>
  <c r="B43"/>
  <c r="B31"/>
  <c r="B28"/>
  <c r="B34"/>
  <c r="B15"/>
  <c r="C42" s="1"/>
  <c r="B45"/>
  <c r="C33"/>
  <c r="A35"/>
  <c r="A34" s="1"/>
  <c r="A33" s="1"/>
  <c r="A32" s="1"/>
  <c r="H32" s="1"/>
  <c r="A38"/>
  <c r="A28"/>
  <c r="E28" s="1"/>
  <c r="I32" l="1"/>
  <c r="F28"/>
  <c r="C44"/>
  <c r="C45"/>
  <c r="C43"/>
  <c r="B19"/>
  <c r="D30" s="1"/>
  <c r="D44"/>
  <c r="D39"/>
  <c r="C31"/>
  <c r="F18"/>
  <c r="D19" s="1"/>
  <c r="B11"/>
  <c r="D40"/>
  <c r="C28"/>
  <c r="C30"/>
  <c r="C32"/>
  <c r="D45"/>
  <c r="D42"/>
  <c r="C29"/>
  <c r="C34"/>
  <c r="D38"/>
  <c r="D41"/>
  <c r="C35"/>
  <c r="D43"/>
  <c r="I35"/>
  <c r="I34"/>
  <c r="I33"/>
  <c r="H33"/>
  <c r="H34"/>
  <c r="H35"/>
  <c r="A29"/>
  <c r="F19" i="1"/>
  <c r="C38" i="4"/>
  <c r="A39"/>
  <c r="D29" l="1"/>
  <c r="D34"/>
  <c r="D31"/>
  <c r="D35"/>
  <c r="D28"/>
  <c r="F20" i="1"/>
  <c r="D33" i="4"/>
  <c r="D32"/>
  <c r="F43"/>
  <c r="J33" s="1"/>
  <c r="F42"/>
  <c r="J32" s="1"/>
  <c r="F44"/>
  <c r="J34" s="1"/>
  <c r="F45"/>
  <c r="C39"/>
  <c r="A40"/>
  <c r="E29"/>
  <c r="A30"/>
  <c r="F29"/>
  <c r="F25" i="1" l="1"/>
  <c r="F26" s="1"/>
  <c r="J35" i="4"/>
  <c r="F21" i="1" s="1"/>
  <c r="A41" i="4"/>
  <c r="C41" s="1"/>
  <c r="C40"/>
  <c r="E39"/>
  <c r="G29" s="1"/>
  <c r="E30"/>
  <c r="A31"/>
  <c r="F30"/>
  <c r="E40" l="1"/>
  <c r="G30" s="1"/>
  <c r="E31"/>
  <c r="F31"/>
  <c r="E41" s="1"/>
  <c r="G31" s="1"/>
  <c r="E38"/>
  <c r="G28" s="1"/>
  <c r="F23" i="1" l="1"/>
  <c r="F27" s="1"/>
  <c r="F24" l="1"/>
</calcChain>
</file>

<file path=xl/sharedStrings.xml><?xml version="1.0" encoding="utf-8"?>
<sst xmlns="http://schemas.openxmlformats.org/spreadsheetml/2006/main" count="330" uniqueCount="278">
  <si>
    <t>Manufacturer</t>
  </si>
  <si>
    <t>Type</t>
  </si>
  <si>
    <t>Power</t>
  </si>
  <si>
    <t>Isc</t>
  </si>
  <si>
    <t>Impp</t>
  </si>
  <si>
    <t>I temp coeff</t>
  </si>
  <si>
    <t>Victron Energy</t>
  </si>
  <si>
    <t>SPM30-12</t>
  </si>
  <si>
    <t>SPM50-12</t>
  </si>
  <si>
    <t>SPM80-12</t>
  </si>
  <si>
    <t>BlueSolar MPPT 75/15</t>
  </si>
  <si>
    <t>BlueSolar MPPT 75/50</t>
  </si>
  <si>
    <t>BlueSolar MPPT 150/70</t>
  </si>
  <si>
    <t>Min.</t>
  </si>
  <si>
    <t xml:space="preserve">Max. </t>
  </si>
  <si>
    <t>Power @ 12V</t>
  </si>
  <si>
    <t>Power @ 24V</t>
  </si>
  <si>
    <t>Power @ 36V</t>
  </si>
  <si>
    <t>Power @ 48V</t>
  </si>
  <si>
    <t>Temperature</t>
  </si>
  <si>
    <t>min</t>
  </si>
  <si>
    <t>max</t>
  </si>
  <si>
    <t>System voltage</t>
  </si>
  <si>
    <t>Volt</t>
  </si>
  <si>
    <t>System Voltage</t>
  </si>
  <si>
    <t>Total PV power:</t>
  </si>
  <si>
    <t>Ibat max</t>
  </si>
  <si>
    <t>Temp. Coeff. Isc</t>
  </si>
  <si>
    <t>Temp. Coeff. Isc absolute</t>
  </si>
  <si>
    <t>RESULTS:</t>
  </si>
  <si>
    <t>DATA:</t>
  </si>
  <si>
    <t>Max. input voltage</t>
  </si>
  <si>
    <t>Efficiency@12</t>
  </si>
  <si>
    <t>Efficiency@24</t>
  </si>
  <si>
    <t>Efficiency@36</t>
  </si>
  <si>
    <t>Efficiency@48</t>
  </si>
  <si>
    <t>Max. Efficiency</t>
  </si>
  <si>
    <t>SPM100-12</t>
  </si>
  <si>
    <t>SPM130-12</t>
  </si>
  <si>
    <t>SPP30-12</t>
  </si>
  <si>
    <t>SPP50-12</t>
  </si>
  <si>
    <t>SPP80-12</t>
  </si>
  <si>
    <t>SPP100-12</t>
  </si>
  <si>
    <t>SPP280-24</t>
  </si>
  <si>
    <t>Voltage window</t>
  </si>
  <si>
    <t>Current window</t>
  </si>
  <si>
    <t>Min. input voltage @ MPP</t>
  </si>
  <si>
    <t>BlueSolar MPPT 100/15</t>
  </si>
  <si>
    <t>Impp output @25°C</t>
  </si>
  <si>
    <t>Isc PV@25°C</t>
  </si>
  <si>
    <t>Impp PV @25°C</t>
  </si>
  <si>
    <t>History</t>
  </si>
  <si>
    <t xml:space="preserve">- Inserted BlueSolar MPPT 100/15 </t>
  </si>
  <si>
    <t>- Inserted custom module</t>
  </si>
  <si>
    <t>- First version</t>
  </si>
  <si>
    <t>Max. PV voltage @ min. temperature</t>
  </si>
  <si>
    <t>Min. PV voltage @ max. temperature</t>
  </si>
  <si>
    <t>Location:</t>
  </si>
  <si>
    <t>In series:</t>
  </si>
  <si>
    <t>Parallel:</t>
  </si>
  <si>
    <t>System voltage:</t>
  </si>
  <si>
    <t>Pitched roof in warm region (good ventilation)</t>
  </si>
  <si>
    <t>Regulator info:</t>
  </si>
  <si>
    <t>Solar module configuration</t>
  </si>
  <si>
    <t>- Reduced output current to maximum output current at low &amp; high temperatures. Now a system will show 'power loss' only wenn the output current exceeds the max. at low &amp; high temperatures.</t>
  </si>
  <si>
    <t>- Power reduction comment set @ highest temperature.</t>
  </si>
  <si>
    <t>Blue Solar charge controller MPPT</t>
  </si>
  <si>
    <t>1.4</t>
  </si>
  <si>
    <t>1.3</t>
  </si>
  <si>
    <t>1.2</t>
  </si>
  <si>
    <t>1.1</t>
  </si>
  <si>
    <t>1.0</t>
  </si>
  <si>
    <t>Example locations with expected temperatures:</t>
  </si>
  <si>
    <t>Pitched on boat (good ventilation)</t>
  </si>
  <si>
    <t>Flat on boat (poor ventilation)</t>
  </si>
  <si>
    <t>Voc @25°C</t>
  </si>
  <si>
    <t>Vmpp @25°C</t>
  </si>
  <si>
    <t>Temp. Coeff. Voc</t>
  </si>
  <si>
    <t>Temp. Coeff. Voc absolute</t>
  </si>
  <si>
    <t>Voc max</t>
  </si>
  <si>
    <t>Voc min</t>
  </si>
  <si>
    <t>Vmpp min</t>
  </si>
  <si>
    <t>Voc max.</t>
  </si>
  <si>
    <t>Pitched roof in average region (good ventilation)</t>
  </si>
  <si>
    <t>Pitched roof on mountain (good ventilation)</t>
  </si>
  <si>
    <t>Module:</t>
  </si>
  <si>
    <t>Max. output current</t>
  </si>
  <si>
    <t>Voc START min.</t>
  </si>
  <si>
    <t>Vmpp RUN min.</t>
  </si>
  <si>
    <t>String Voc max.</t>
  </si>
  <si>
    <t>String Vmpp max.</t>
  </si>
  <si>
    <t>String Voc min.</t>
  </si>
  <si>
    <t>String Vmpp min.</t>
  </si>
  <si>
    <t>Impp PV max.</t>
  </si>
  <si>
    <t>Ibat max.</t>
  </si>
  <si>
    <t>Module info:</t>
  </si>
  <si>
    <t>Max. current @ MPP min. temp.</t>
  </si>
  <si>
    <t>Max. current @ MPP max. temp.</t>
  </si>
  <si>
    <t>Controller:</t>
  </si>
  <si>
    <t>Ibat max. @ Impp</t>
  </si>
  <si>
    <t>Ibat min. @ Impp</t>
  </si>
  <si>
    <t>ENGLISH</t>
  </si>
  <si>
    <t>Pos.</t>
  </si>
  <si>
    <t>DUTCH</t>
  </si>
  <si>
    <t>Paneel:</t>
  </si>
  <si>
    <t>ESPANGOL</t>
  </si>
  <si>
    <t>DEUTSCH</t>
  </si>
  <si>
    <t>Modul:</t>
  </si>
  <si>
    <t>FRANCAIS</t>
  </si>
  <si>
    <t>1.5</t>
  </si>
  <si>
    <t>In serie:</t>
  </si>
  <si>
    <t>In Reihe:</t>
  </si>
  <si>
    <t>En serie:</t>
  </si>
  <si>
    <t>Totale PV vermogen:</t>
  </si>
  <si>
    <t>Wp</t>
  </si>
  <si>
    <t>Wc</t>
  </si>
  <si>
    <t>Puissance PV totale:</t>
  </si>
  <si>
    <t>Max.</t>
  </si>
  <si>
    <t>Regelaar:</t>
  </si>
  <si>
    <t>Systeem spanning:</t>
  </si>
  <si>
    <t>Max. ingangsspanning</t>
  </si>
  <si>
    <t>Max. PV spanning @ min. temp.</t>
  </si>
  <si>
    <t>Min. ingangsspanning @ MPP</t>
  </si>
  <si>
    <t>Min. PV spanning @ max. Temp.</t>
  </si>
  <si>
    <t>Max. uitgangsstroom</t>
  </si>
  <si>
    <t>Max. stroom @ MPP min. temp.</t>
  </si>
  <si>
    <t>Max. stroom @ MPP max. temp.</t>
  </si>
  <si>
    <t>Zonne-paneel configuratie</t>
  </si>
  <si>
    <t>Voorbeeld lokaties en verwachte temperatuur:</t>
  </si>
  <si>
    <t>PV Leistung insgesamt:</t>
  </si>
  <si>
    <t>Regler:</t>
  </si>
  <si>
    <t>System Spannung:</t>
  </si>
  <si>
    <t>Max. Eingangspannung:</t>
  </si>
  <si>
    <t>Min. Eingangspannung @ MPP</t>
  </si>
  <si>
    <t>Max. Ausgangstrom</t>
  </si>
  <si>
    <t>Max. Strom @ MPP min. Temp.</t>
  </si>
  <si>
    <t>Max. Strom @ MPP max. Temp.</t>
  </si>
  <si>
    <t>Solar Modul Auslegung</t>
  </si>
  <si>
    <t>Max. PV Spannung @ min. Temp.</t>
  </si>
  <si>
    <t>Min. PV Spannung @ max. Temp.</t>
  </si>
  <si>
    <t>N.A.</t>
  </si>
  <si>
    <t>Vlak op boot (slechte ventilatie)</t>
  </si>
  <si>
    <t>Onder helling op boot (goede ventilatie)</t>
  </si>
  <si>
    <t>Op schuin dak warme omgeving (goede ventilatie)</t>
  </si>
  <si>
    <t>Op schuin dak gemiddelde omgeving (goede ventilatie)</t>
  </si>
  <si>
    <t>Op schuin dak in de bergen (goede ventilatie)</t>
  </si>
  <si>
    <t>Spanningsvenster</t>
  </si>
  <si>
    <t>Stroomvenster</t>
  </si>
  <si>
    <t>Geneigt auf Boot (gute Hinterlüftung)</t>
  </si>
  <si>
    <t>Schrägdach, warme Umgebung (gute Hinterlüftung)</t>
  </si>
  <si>
    <t>Schrägdach, mittlere Regio (gute Hinterlüftung)</t>
  </si>
  <si>
    <t>Schrägdach, in Bergen (gute Hinterlüftung)</t>
  </si>
  <si>
    <t>* Leistung Begrenzung @ niedrige Temp.</t>
  </si>
  <si>
    <t>** Leistung Begrenzung @ hohe Temp.</t>
  </si>
  <si>
    <t>Spannungsfenster</t>
  </si>
  <si>
    <t>Stromfenster</t>
  </si>
  <si>
    <t>Módulo FV:</t>
  </si>
  <si>
    <t>En paralelo:</t>
  </si>
  <si>
    <t>Potencia total FV:</t>
  </si>
  <si>
    <t xml:space="preserve">Temp. módulo FV </t>
  </si>
  <si>
    <t>Reguladorr:</t>
  </si>
  <si>
    <t>Voltaje del sistema:</t>
  </si>
  <si>
    <t>Voltaje max. de entrada</t>
  </si>
  <si>
    <t>Voltaje max. FV @ Temperatura min.</t>
  </si>
  <si>
    <t>Voltaje min. de entrada  @ PMP</t>
  </si>
  <si>
    <t>Voltaje min. FV @ Temperatura max.</t>
  </si>
  <si>
    <t>Corriente max. de salida</t>
  </si>
  <si>
    <t>Corriente max. @ PMP temp. min.</t>
  </si>
  <si>
    <t>Corriente max. @ PMP temp. max.</t>
  </si>
  <si>
    <t>Configuración del módulo FV</t>
  </si>
  <si>
    <t>Ejemplos de lugares con temperaturas previstas:</t>
  </si>
  <si>
    <t>Plano sobre una autocaravana, durante todo el año (mala ventilación)</t>
  </si>
  <si>
    <t>Plano sobre una autocaravana, sólo en verano (mala ventilación)</t>
  </si>
  <si>
    <t>Plano sobre el techo de un barco (mala ventilación)</t>
  </si>
  <si>
    <t>Inclinado sobre el techo de un barco (buena ventilación)</t>
  </si>
  <si>
    <t>Techo inclinado en una región cálida (buena ventilación)</t>
  </si>
  <si>
    <t>Techo inclinado en una región templada (buena ventilación)</t>
  </si>
  <si>
    <t>Techo inclinado en las montañas (buena ventilación)</t>
  </si>
  <si>
    <t>* Reducción de potencia @ Temp. baja</t>
  </si>
  <si>
    <t>** Reducción de potencia @ Temp. alta</t>
  </si>
  <si>
    <t>Ventana de voltaje</t>
  </si>
  <si>
    <t>Ventana de coriente</t>
  </si>
  <si>
    <t>* Vermogens begrenzing @ lage temp.</t>
  </si>
  <si>
    <t>** Vermogens begrenzing @ hoge temp.</t>
  </si>
  <si>
    <t>Tension du système:</t>
  </si>
  <si>
    <t>Tension d'entrée max.:</t>
  </si>
  <si>
    <t>PV tension max. @ temp. min.</t>
  </si>
  <si>
    <t>PV tension min. @ temp. max.</t>
  </si>
  <si>
    <t>Tension d'entrée min. @ MPP</t>
  </si>
  <si>
    <t>Courant de sortie max.</t>
  </si>
  <si>
    <t>Courant max. @ MPP temp. min.</t>
  </si>
  <si>
    <t>Courant max. @ MPP temp. max.</t>
  </si>
  <si>
    <t>Beispiel Standort und erwartete Temperatur:</t>
  </si>
  <si>
    <t>Flach auf Wohnmobil, ganze Jahr (schlechte Hinterlüftung)</t>
  </si>
  <si>
    <t>Flach auf Wohnmobil, nur Sommer (schlechte Hinterlüftung)</t>
  </si>
  <si>
    <t>Flach auf Boot (schlechte Hinterlüftung)</t>
  </si>
  <si>
    <t>À plat sur ​​le bateau (mauvaise ventilation)</t>
  </si>
  <si>
    <t>* Limitation de puissance @ basse temp.</t>
  </si>
  <si>
    <t>** Limitation de puissance @ haute temp.</t>
  </si>
  <si>
    <t>Vlak op camper, gehele jaar (slechte ventilatie)</t>
  </si>
  <si>
    <t>Vlak op camper, alleen zomers (slechte ventilatie)</t>
  </si>
  <si>
    <t>* Power limiting @ low temp.</t>
  </si>
  <si>
    <t>** Power limiting @ high temp.</t>
  </si>
  <si>
    <t>Parallèle:</t>
  </si>
  <si>
    <t>Exemple de localisation de site avec la température attendue:</t>
  </si>
  <si>
    <t>À plat sur toit de camping-car  toute l'année (mauvaise ventilation)</t>
  </si>
  <si>
    <t>À plat sur camping-car , seulement l'été (mauvaise ventilation)</t>
  </si>
  <si>
    <t>Inclinée sur bateau (bonne ventilation)</t>
  </si>
  <si>
    <t>Toit en pente, en région chaude (bonne ventilation)</t>
  </si>
  <si>
    <t>Toit en pente, région tempérée (bonne ventilation)</t>
  </si>
  <si>
    <t>Toit en pente, en montagne (bonne ventilation)</t>
  </si>
  <si>
    <t>Fourchette de courant</t>
  </si>
  <si>
    <t>Panneau:</t>
  </si>
  <si>
    <t>Température Paneau:</t>
  </si>
  <si>
    <t>Régulateur:</t>
  </si>
  <si>
    <t>Configuration du panneau</t>
  </si>
  <si>
    <t>Modul Temperatur:</t>
  </si>
  <si>
    <t>Paneel temperatuur:</t>
  </si>
  <si>
    <t>Module temperature:</t>
  </si>
  <si>
    <t>Fourchette de tension</t>
  </si>
  <si>
    <t>BlueSolar MPPT 150/85</t>
  </si>
  <si>
    <t>BlueSolar MPPT 100/50</t>
  </si>
  <si>
    <t>BlueSolar MPPT 100/30</t>
  </si>
  <si>
    <t>BlueSolar MPPT 150/35</t>
  </si>
  <si>
    <t>Custom: 1XYZ</t>
  </si>
  <si>
    <t>Custom: 2XYZ</t>
  </si>
  <si>
    <t>1ABC</t>
  </si>
  <si>
    <t>2ABC</t>
  </si>
  <si>
    <t>1.6</t>
  </si>
  <si>
    <t>- Changed texts and Module temperature window.</t>
  </si>
  <si>
    <t>- Inserted 4 languages @ updated not applicable (N.A.) voltages for 75/15, 75/50 &amp; 100/15.</t>
  </si>
  <si>
    <t>- Inserted 4 new regulators and 2 more custom module.</t>
  </si>
  <si>
    <t>Custom: 3XYZ</t>
  </si>
  <si>
    <t>3ABC</t>
  </si>
  <si>
    <t xml:space="preserve">Voltage drop: </t>
  </si>
  <si>
    <t>BHO 05-2014 1.7</t>
  </si>
  <si>
    <t>1.7</t>
  </si>
  <si>
    <t>Cupper resistance</t>
  </si>
  <si>
    <t>String Vmpp corr.max.</t>
  </si>
  <si>
    <t>String Vmpp corr. min.</t>
  </si>
  <si>
    <t>Factor</t>
  </si>
  <si>
    <t>Cable length, Module to MPPT *</t>
  </si>
  <si>
    <t>* One way length</t>
  </si>
  <si>
    <t>Yes</t>
  </si>
  <si>
    <t>No</t>
  </si>
  <si>
    <t>Are the solar modules covered with snow many periods a year?</t>
  </si>
  <si>
    <t>* Enkele afstand</t>
  </si>
  <si>
    <t>Zijn de panelen gedurende veel periodes bedekt met sneeuw?</t>
  </si>
  <si>
    <t>Ja</t>
  </si>
  <si>
    <t>Nee</t>
  </si>
  <si>
    <t>Kabel Länge, Modul zum MPPT *</t>
  </si>
  <si>
    <t>Kabel lengte, paneel tot MPPT *</t>
  </si>
  <si>
    <t>* Einfache Distanz</t>
  </si>
  <si>
    <t>Sind die Solar Module öfters im Jahr bedeckt mit Schnee?</t>
  </si>
  <si>
    <t>Nein</t>
  </si>
  <si>
    <t>Oui</t>
  </si>
  <si>
    <t>Non</t>
  </si>
  <si>
    <t>Longuer cable, Paneaux à MPPT *</t>
  </si>
  <si>
    <t>Sont les paneaux solaires souvent couvertes de neige?</t>
  </si>
  <si>
    <t>Longitud del cable del módulo al MPPT *</t>
  </si>
  <si>
    <t> * Longitud de un solo cable</t>
  </si>
  <si>
    <t> ¿Los módulos están cubiertos con nieve durante muchos períodos del año?</t>
  </si>
  <si>
    <t>Si</t>
  </si>
  <si>
    <t>Cross-section:</t>
  </si>
  <si>
    <t>Doorsnede:</t>
  </si>
  <si>
    <t>Querschnitt:</t>
  </si>
  <si>
    <t>Section:</t>
  </si>
  <si>
    <t>* La distance simple</t>
  </si>
  <si>
    <t>Superficie:</t>
  </si>
  <si>
    <t>SPM190-24</t>
  </si>
  <si>
    <t>SPM300-24</t>
  </si>
  <si>
    <t>SPP140-12</t>
  </si>
  <si>
    <t>- Added new solar modules, voltage drop correction and an option to rise the cell temperature in the example list, when the solar modules do not see snow and therefor temperatures will not be so low.</t>
  </si>
  <si>
    <t>Vmpp</t>
  </si>
  <si>
    <t>Voc</t>
  </si>
  <si>
    <t>V temp coeff</t>
  </si>
  <si>
    <t>Flat on mobile home, all year (poor ventilation)</t>
  </si>
  <si>
    <t>Flat on mobile home, only summer (poor ventilation)</t>
  </si>
</sst>
</file>

<file path=xl/styles.xml><?xml version="1.0" encoding="utf-8"?>
<styleSheet xmlns="http://schemas.openxmlformats.org/spreadsheetml/2006/main">
  <numFmts count="16">
    <numFmt numFmtId="164" formatCode="General\ &quot;°C&quot;"/>
    <numFmt numFmtId="165" formatCode="General\ &quot;V&quot;"/>
    <numFmt numFmtId="166" formatCode="0.0\ &quot;V&quot;"/>
    <numFmt numFmtId="167" formatCode="0.000\ &quot;%/°C&quot;"/>
    <numFmt numFmtId="168" formatCode="0.0"/>
    <numFmt numFmtId="169" formatCode="0.0\ &quot;A&quot;"/>
    <numFmt numFmtId="170" formatCode="0.000\ &quot;V/°C&quot;"/>
    <numFmt numFmtId="171" formatCode="0.00\ &quot;A&quot;"/>
    <numFmt numFmtId="172" formatCode="0.000\ &quot;A/°C&quot;"/>
    <numFmt numFmtId="173" formatCode="General\ &quot;A&quot;"/>
    <numFmt numFmtId="174" formatCode="&quot;(Col&quot;\ General\ &quot;)&quot;"/>
    <numFmt numFmtId="175" formatCode="&quot;+&quot;\ General\ &quot;V&quot;"/>
    <numFmt numFmtId="176" formatCode="0.0000\ &quot;Ohm/mm²/m&quot;"/>
    <numFmt numFmtId="177" formatCode="0.000"/>
    <numFmt numFmtId="178" formatCode="0.0\ &quot;mm²&quot;"/>
    <numFmt numFmtId="179" formatCode="General\ &quot;m&quot;"/>
  </numFmts>
  <fonts count="13">
    <font>
      <sz val="11"/>
      <color theme="1"/>
      <name val="Calibri"/>
      <family val="2"/>
      <scheme val="minor"/>
    </font>
    <font>
      <sz val="11"/>
      <color theme="0"/>
      <name val="Calibri"/>
      <family val="2"/>
      <scheme val="minor"/>
    </font>
    <font>
      <b/>
      <sz val="11"/>
      <color theme="1"/>
      <name val="Calibri"/>
      <family val="2"/>
      <scheme val="minor"/>
    </font>
    <font>
      <sz val="11"/>
      <color rgb="FFFF0000"/>
      <name val="Calibri"/>
      <family val="2"/>
      <scheme val="minor"/>
    </font>
    <font>
      <sz val="9"/>
      <color theme="1"/>
      <name val="Calibri"/>
      <family val="2"/>
      <scheme val="minor"/>
    </font>
    <font>
      <sz val="11"/>
      <color theme="3" tint="0.59999389629810485"/>
      <name val="Calibri"/>
      <family val="2"/>
      <scheme val="minor"/>
    </font>
    <font>
      <u/>
      <sz val="11"/>
      <color theme="10"/>
      <name val="Calibri"/>
      <family val="2"/>
      <scheme val="minor"/>
    </font>
    <font>
      <b/>
      <sz val="11"/>
      <name val="Calibri"/>
      <family val="2"/>
      <scheme val="minor"/>
    </font>
    <font>
      <b/>
      <sz val="12"/>
      <name val="Calibri"/>
      <family val="2"/>
      <scheme val="minor"/>
    </font>
    <font>
      <sz val="11"/>
      <color rgb="FF000000"/>
      <name val="Calibri"/>
      <family val="2"/>
      <scheme val="minor"/>
    </font>
    <font>
      <sz val="11"/>
      <color theme="1" tint="0.499984740745262"/>
      <name val="Calibri"/>
      <family val="2"/>
      <scheme val="minor"/>
    </font>
    <font>
      <sz val="9"/>
      <color rgb="FFF2F2F2"/>
      <name val="Calibri"/>
      <family val="2"/>
      <scheme val="minor"/>
    </font>
    <font>
      <b/>
      <sz val="9"/>
      <color theme="1"/>
      <name val="Calibri"/>
      <family val="2"/>
      <scheme val="minor"/>
    </font>
  </fonts>
  <fills count="9">
    <fill>
      <patternFill patternType="none"/>
    </fill>
    <fill>
      <patternFill patternType="gray125"/>
    </fill>
    <fill>
      <patternFill patternType="solid">
        <fgColor theme="3" tint="0.59999389629810485"/>
        <bgColor indexed="64"/>
      </patternFill>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F2F2F2"/>
        <bgColor indexed="64"/>
      </patternFill>
    </fill>
    <fill>
      <patternFill patternType="solid">
        <fgColor rgb="FFD9D9D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123">
    <xf numFmtId="0" fontId="0" fillId="0" borderId="0" xfId="0"/>
    <xf numFmtId="0" fontId="0" fillId="2" borderId="0" xfId="0" applyFill="1"/>
    <xf numFmtId="0" fontId="0" fillId="3" borderId="0" xfId="0" applyFill="1"/>
    <xf numFmtId="0" fontId="0" fillId="4" borderId="0" xfId="0" applyFill="1"/>
    <xf numFmtId="166" fontId="0" fillId="4" borderId="0" xfId="0" applyNumberFormat="1" applyFill="1"/>
    <xf numFmtId="0" fontId="0" fillId="5" borderId="1" xfId="0" applyFill="1" applyBorder="1" applyAlignment="1" applyProtection="1">
      <alignment horizontal="center"/>
      <protection locked="0"/>
    </xf>
    <xf numFmtId="0" fontId="0" fillId="2" borderId="0" xfId="0" applyFill="1" applyBorder="1" applyProtection="1">
      <protection locked="0"/>
    </xf>
    <xf numFmtId="0" fontId="0" fillId="5" borderId="2" xfId="0" applyFill="1" applyBorder="1" applyProtection="1"/>
    <xf numFmtId="0" fontId="0" fillId="5" borderId="3" xfId="0" applyFill="1" applyBorder="1" applyProtection="1"/>
    <xf numFmtId="0" fontId="0" fillId="5" borderId="4" xfId="0" applyFill="1" applyBorder="1" applyProtection="1"/>
    <xf numFmtId="0" fontId="0" fillId="0" borderId="0" xfId="0" applyProtection="1"/>
    <xf numFmtId="0" fontId="0" fillId="5" borderId="5" xfId="0" applyFill="1" applyBorder="1" applyProtection="1"/>
    <xf numFmtId="0" fontId="0" fillId="5" borderId="0" xfId="0" applyFill="1" applyBorder="1" applyProtection="1"/>
    <xf numFmtId="0" fontId="0" fillId="5" borderId="6" xfId="0" applyFill="1" applyBorder="1" applyProtection="1"/>
    <xf numFmtId="0" fontId="0" fillId="2" borderId="5" xfId="0" applyFill="1" applyBorder="1" applyProtection="1"/>
    <xf numFmtId="0" fontId="0" fillId="2" borderId="0" xfId="0" applyFill="1" applyBorder="1" applyProtection="1"/>
    <xf numFmtId="0" fontId="0" fillId="2" borderId="6" xfId="0" applyFill="1" applyBorder="1" applyProtection="1"/>
    <xf numFmtId="0" fontId="0" fillId="2" borderId="0" xfId="0" applyFill="1" applyBorder="1" applyAlignment="1" applyProtection="1">
      <alignment horizontal="right"/>
    </xf>
    <xf numFmtId="0" fontId="0" fillId="2" borderId="2" xfId="0" applyFill="1" applyBorder="1" applyProtection="1"/>
    <xf numFmtId="0" fontId="0" fillId="2" borderId="3" xfId="0" applyFill="1" applyBorder="1" applyProtection="1"/>
    <xf numFmtId="0" fontId="0" fillId="2" borderId="4" xfId="0" applyFill="1" applyBorder="1" applyProtection="1"/>
    <xf numFmtId="166" fontId="0" fillId="2" borderId="6" xfId="0" applyNumberFormat="1" applyFill="1" applyBorder="1" applyProtection="1"/>
    <xf numFmtId="0" fontId="0" fillId="2" borderId="7" xfId="0" applyFill="1" applyBorder="1" applyProtection="1"/>
    <xf numFmtId="0" fontId="0" fillId="2" borderId="8" xfId="0" applyFill="1" applyBorder="1" applyProtection="1"/>
    <xf numFmtId="0" fontId="0" fillId="2" borderId="9" xfId="0" applyFill="1" applyBorder="1" applyProtection="1"/>
    <xf numFmtId="0" fontId="0" fillId="2" borderId="0" xfId="0" applyFont="1" applyFill="1" applyBorder="1" applyAlignment="1" applyProtection="1">
      <alignment horizontal="center"/>
      <protection locked="0"/>
    </xf>
    <xf numFmtId="0" fontId="2" fillId="5" borderId="10" xfId="0" applyFont="1" applyFill="1" applyBorder="1" applyProtection="1"/>
    <xf numFmtId="0" fontId="2" fillId="5" borderId="10" xfId="0" applyFont="1" applyFill="1" applyBorder="1" applyAlignment="1" applyProtection="1">
      <alignment horizontal="center"/>
    </xf>
    <xf numFmtId="0" fontId="0" fillId="6" borderId="0" xfId="0" applyFill="1"/>
    <xf numFmtId="164" fontId="0" fillId="6" borderId="0" xfId="0" applyNumberFormat="1" applyFill="1"/>
    <xf numFmtId="166" fontId="0" fillId="6" borderId="0" xfId="0" applyNumberFormat="1" applyFill="1"/>
    <xf numFmtId="171" fontId="0" fillId="6" borderId="0" xfId="0" applyNumberFormat="1" applyFill="1"/>
    <xf numFmtId="167" fontId="0" fillId="6" borderId="0" xfId="0" applyNumberFormat="1" applyFill="1"/>
    <xf numFmtId="170" fontId="0" fillId="6" borderId="0" xfId="0" applyNumberFormat="1" applyFill="1"/>
    <xf numFmtId="172" fontId="0" fillId="6" borderId="0" xfId="0" applyNumberFormat="1" applyFill="1"/>
    <xf numFmtId="169" fontId="0" fillId="6" borderId="0" xfId="0" applyNumberFormat="1" applyFill="1"/>
    <xf numFmtId="165" fontId="0" fillId="6" borderId="0" xfId="0" applyNumberFormat="1" applyFill="1"/>
    <xf numFmtId="174" fontId="0" fillId="6" borderId="0" xfId="0" applyNumberFormat="1" applyFill="1" applyAlignment="1">
      <alignment horizontal="left"/>
    </xf>
    <xf numFmtId="0" fontId="0" fillId="4" borderId="0" xfId="0" applyFill="1" applyAlignment="1">
      <alignment horizontal="center"/>
    </xf>
    <xf numFmtId="0" fontId="0" fillId="6" borderId="0" xfId="0" applyFill="1" applyAlignment="1">
      <alignment horizontal="center"/>
    </xf>
    <xf numFmtId="164" fontId="0" fillId="6" borderId="0" xfId="0" applyNumberFormat="1" applyFill="1" applyAlignment="1">
      <alignment horizontal="center"/>
    </xf>
    <xf numFmtId="166" fontId="0" fillId="6" borderId="0" xfId="0" applyNumberFormat="1" applyFill="1" applyAlignment="1">
      <alignment horizontal="center"/>
    </xf>
    <xf numFmtId="168" fontId="0" fillId="6" borderId="0" xfId="0" applyNumberFormat="1" applyFill="1" applyAlignment="1">
      <alignment horizontal="center"/>
    </xf>
    <xf numFmtId="169" fontId="0" fillId="6" borderId="0" xfId="0" applyNumberFormat="1" applyFill="1" applyAlignment="1">
      <alignment horizontal="center"/>
    </xf>
    <xf numFmtId="171" fontId="0" fillId="6" borderId="0" xfId="0" applyNumberFormat="1" applyFill="1" applyAlignment="1">
      <alignment horizontal="center"/>
    </xf>
    <xf numFmtId="165" fontId="0" fillId="6" borderId="0" xfId="0" applyNumberFormat="1" applyFill="1" applyAlignment="1">
      <alignment horizontal="center"/>
    </xf>
    <xf numFmtId="171" fontId="3" fillId="6" borderId="0" xfId="0" applyNumberFormat="1" applyFont="1" applyFill="1"/>
    <xf numFmtId="0" fontId="3" fillId="6" borderId="0" xfId="0" applyFont="1" applyFill="1"/>
    <xf numFmtId="165" fontId="0" fillId="2" borderId="3" xfId="0" applyNumberFormat="1" applyFill="1" applyBorder="1" applyAlignment="1" applyProtection="1">
      <alignment horizontal="center"/>
    </xf>
    <xf numFmtId="166" fontId="0" fillId="2" borderId="0" xfId="0" applyNumberFormat="1" applyFill="1" applyBorder="1" applyAlignment="1" applyProtection="1">
      <alignment horizontal="center"/>
    </xf>
    <xf numFmtId="173" fontId="0" fillId="2" borderId="0" xfId="0" applyNumberFormat="1" applyFill="1" applyBorder="1" applyAlignment="1" applyProtection="1">
      <alignment horizontal="center"/>
    </xf>
    <xf numFmtId="169" fontId="0" fillId="2" borderId="0" xfId="0" applyNumberFormat="1" applyFill="1" applyBorder="1" applyAlignment="1" applyProtection="1">
      <alignment horizontal="center"/>
    </xf>
    <xf numFmtId="0" fontId="0" fillId="5" borderId="0" xfId="0" applyFill="1"/>
    <xf numFmtId="0" fontId="0" fillId="5" borderId="0" xfId="0" applyFont="1" applyFill="1" applyAlignment="1">
      <alignment horizontal="center"/>
    </xf>
    <xf numFmtId="0" fontId="0" fillId="5" borderId="0" xfId="0" applyFill="1" applyAlignment="1">
      <alignment horizontal="center"/>
    </xf>
    <xf numFmtId="0" fontId="0" fillId="5" borderId="10" xfId="0" applyFill="1" applyBorder="1" applyProtection="1"/>
    <xf numFmtId="166" fontId="0" fillId="2" borderId="8" xfId="0" applyNumberFormat="1" applyFill="1" applyBorder="1" applyAlignment="1" applyProtection="1">
      <alignment horizontal="center"/>
    </xf>
    <xf numFmtId="0" fontId="0" fillId="5" borderId="0" xfId="0" applyFill="1" applyProtection="1"/>
    <xf numFmtId="0" fontId="4" fillId="5" borderId="0" xfId="0" applyFont="1" applyFill="1" applyProtection="1"/>
    <xf numFmtId="0" fontId="2" fillId="5" borderId="0" xfId="0" applyFont="1" applyFill="1" applyProtection="1"/>
    <xf numFmtId="0" fontId="5" fillId="2" borderId="0" xfId="0" applyFont="1" applyFill="1" applyBorder="1" applyProtection="1"/>
    <xf numFmtId="0" fontId="0" fillId="5" borderId="6" xfId="0" applyFill="1" applyBorder="1" applyAlignment="1">
      <alignment horizontal="right"/>
    </xf>
    <xf numFmtId="0" fontId="1" fillId="5" borderId="0" xfId="0" applyFont="1" applyFill="1" applyAlignment="1" applyProtection="1">
      <alignment horizontal="center"/>
    </xf>
    <xf numFmtId="0" fontId="5" fillId="2" borderId="0" xfId="0" applyFont="1" applyFill="1" applyBorder="1" applyAlignment="1" applyProtection="1">
      <alignment horizontal="center"/>
      <protection locked="0"/>
    </xf>
    <xf numFmtId="164" fontId="0" fillId="6" borderId="1" xfId="0" applyNumberFormat="1" applyFill="1" applyBorder="1" applyAlignment="1">
      <alignment horizontal="center"/>
    </xf>
    <xf numFmtId="164" fontId="0" fillId="5" borderId="1" xfId="0" applyNumberFormat="1" applyFill="1" applyBorder="1" applyAlignment="1" applyProtection="1">
      <alignment horizontal="center"/>
    </xf>
    <xf numFmtId="164" fontId="0" fillId="5" borderId="1" xfId="0" applyNumberFormat="1" applyFill="1" applyBorder="1" applyAlignment="1" applyProtection="1">
      <alignment horizontal="center"/>
      <protection locked="0"/>
    </xf>
    <xf numFmtId="0" fontId="2" fillId="4" borderId="1" xfId="0" applyFont="1" applyFill="1" applyBorder="1" applyAlignment="1">
      <alignment horizontal="center"/>
    </xf>
    <xf numFmtId="164" fontId="1" fillId="4" borderId="0" xfId="0" applyNumberFormat="1" applyFont="1" applyFill="1"/>
    <xf numFmtId="0" fontId="0" fillId="4" borderId="0" xfId="0" quotePrefix="1" applyFill="1"/>
    <xf numFmtId="0" fontId="2" fillId="2" borderId="6" xfId="0" applyFont="1" applyFill="1" applyBorder="1" applyAlignment="1">
      <alignment horizontal="right"/>
    </xf>
    <xf numFmtId="0" fontId="0" fillId="6" borderId="6" xfId="0" quotePrefix="1" applyFill="1" applyBorder="1" applyAlignment="1">
      <alignment horizontal="right"/>
    </xf>
    <xf numFmtId="0" fontId="0" fillId="6" borderId="6" xfId="0" applyFill="1" applyBorder="1" applyAlignment="1">
      <alignment horizontal="right"/>
    </xf>
    <xf numFmtId="168" fontId="0" fillId="6" borderId="6" xfId="0" quotePrefix="1" applyNumberFormat="1" applyFill="1" applyBorder="1" applyAlignment="1">
      <alignment horizontal="right"/>
    </xf>
    <xf numFmtId="0" fontId="2" fillId="2" borderId="1" xfId="0" applyFont="1" applyFill="1" applyBorder="1" applyAlignment="1">
      <alignment horizontal="center"/>
    </xf>
    <xf numFmtId="0" fontId="2" fillId="2" borderId="1" xfId="0" quotePrefix="1" applyFont="1" applyFill="1" applyBorder="1" applyAlignment="1">
      <alignment horizontal="center"/>
    </xf>
    <xf numFmtId="0" fontId="2" fillId="6" borderId="1" xfId="0" applyFont="1" applyFill="1" applyBorder="1" applyAlignment="1">
      <alignment horizontal="center"/>
    </xf>
    <xf numFmtId="0" fontId="0" fillId="4" borderId="1" xfId="0" applyFill="1" applyBorder="1" applyAlignment="1">
      <alignment horizontal="center"/>
    </xf>
    <xf numFmtId="0" fontId="0" fillId="4" borderId="1" xfId="0" quotePrefix="1" applyFill="1" applyBorder="1" applyAlignment="1">
      <alignment horizontal="center"/>
    </xf>
    <xf numFmtId="175" fontId="0" fillId="4" borderId="1" xfId="0" applyNumberFormat="1" applyFill="1" applyBorder="1" applyAlignment="1">
      <alignment horizontal="center"/>
    </xf>
    <xf numFmtId="0" fontId="2" fillId="6" borderId="1" xfId="0" applyFont="1" applyFill="1" applyBorder="1"/>
    <xf numFmtId="0" fontId="2" fillId="4" borderId="11" xfId="0" applyFont="1" applyFill="1" applyBorder="1"/>
    <xf numFmtId="0" fontId="0" fillId="4" borderId="12" xfId="0" applyFill="1" applyBorder="1" applyProtection="1"/>
    <xf numFmtId="0" fontId="0" fillId="6" borderId="11" xfId="0" applyFill="1" applyBorder="1"/>
    <xf numFmtId="0" fontId="0" fillId="6" borderId="12" xfId="0" applyFill="1" applyBorder="1" applyProtection="1"/>
    <xf numFmtId="0" fontId="4" fillId="5" borderId="0" xfId="0" applyFont="1" applyFill="1" applyAlignment="1" applyProtection="1">
      <alignment horizontal="right"/>
    </xf>
    <xf numFmtId="0" fontId="0" fillId="2" borderId="0" xfId="0" applyNumberFormat="1" applyFill="1" applyBorder="1" applyAlignment="1" applyProtection="1">
      <alignment horizontal="right"/>
    </xf>
    <xf numFmtId="0" fontId="7" fillId="5" borderId="3" xfId="1" applyFont="1" applyFill="1" applyBorder="1" applyAlignment="1" applyProtection="1">
      <alignment vertical="center"/>
    </xf>
    <xf numFmtId="0" fontId="7" fillId="5" borderId="0" xfId="1" applyFont="1" applyFill="1" applyBorder="1" applyAlignment="1" applyProtection="1">
      <alignment vertical="center"/>
    </xf>
    <xf numFmtId="0" fontId="0" fillId="4" borderId="1" xfId="0" applyFont="1" applyFill="1" applyBorder="1" applyAlignment="1">
      <alignment horizontal="center"/>
    </xf>
    <xf numFmtId="0" fontId="0" fillId="4" borderId="1" xfId="0" quotePrefix="1" applyFont="1" applyFill="1" applyBorder="1" applyAlignment="1">
      <alignment horizontal="center"/>
    </xf>
    <xf numFmtId="175" fontId="0" fillId="4" borderId="1" xfId="0" applyNumberFormat="1" applyFont="1" applyFill="1" applyBorder="1" applyAlignment="1">
      <alignment horizontal="center"/>
    </xf>
    <xf numFmtId="0" fontId="9" fillId="2" borderId="0" xfId="0" applyFont="1" applyFill="1" applyBorder="1" applyProtection="1"/>
    <xf numFmtId="0" fontId="0" fillId="7" borderId="0" xfId="0" applyFill="1"/>
    <xf numFmtId="166" fontId="0" fillId="7" borderId="0" xfId="0" applyNumberFormat="1" applyFill="1"/>
    <xf numFmtId="0" fontId="0" fillId="7" borderId="0" xfId="0" quotePrefix="1" applyFill="1"/>
    <xf numFmtId="0" fontId="0" fillId="8" borderId="6" xfId="0" quotePrefix="1" applyFill="1" applyBorder="1" applyAlignment="1">
      <alignment horizontal="right"/>
    </xf>
    <xf numFmtId="176" fontId="0" fillId="6" borderId="0" xfId="0" applyNumberFormat="1" applyFill="1"/>
    <xf numFmtId="177" fontId="0" fillId="6" borderId="0" xfId="0" applyNumberFormat="1" applyFill="1"/>
    <xf numFmtId="0" fontId="10" fillId="6" borderId="0" xfId="0" applyFont="1" applyFill="1" applyAlignment="1">
      <alignment horizontal="center"/>
    </xf>
    <xf numFmtId="166" fontId="10" fillId="6" borderId="0" xfId="0" applyNumberFormat="1" applyFont="1" applyFill="1" applyAlignment="1">
      <alignment horizontal="center"/>
    </xf>
    <xf numFmtId="179" fontId="0" fillId="5" borderId="1" xfId="0" applyNumberFormat="1" applyFill="1" applyBorder="1" applyAlignment="1" applyProtection="1">
      <alignment horizontal="center"/>
      <protection locked="0"/>
    </xf>
    <xf numFmtId="0" fontId="5" fillId="2" borderId="6" xfId="0" applyFont="1" applyFill="1" applyBorder="1" applyAlignment="1" applyProtection="1">
      <alignment horizontal="center"/>
      <protection locked="0" hidden="1"/>
    </xf>
    <xf numFmtId="178" fontId="0" fillId="5" borderId="1" xfId="0" applyNumberFormat="1" applyFill="1" applyBorder="1" applyAlignment="1" applyProtection="1">
      <alignment horizontal="center"/>
    </xf>
    <xf numFmtId="0" fontId="5" fillId="2" borderId="6" xfId="0" applyFont="1" applyFill="1" applyBorder="1" applyProtection="1">
      <protection locked="0" hidden="1"/>
    </xf>
    <xf numFmtId="0" fontId="0" fillId="5" borderId="13" xfId="0" applyFill="1" applyBorder="1" applyProtection="1"/>
    <xf numFmtId="0" fontId="0" fillId="5" borderId="14" xfId="0" applyFill="1" applyBorder="1" applyProtection="1"/>
    <xf numFmtId="0" fontId="0" fillId="5" borderId="11" xfId="0" applyFill="1" applyBorder="1" applyProtection="1"/>
    <xf numFmtId="0" fontId="0" fillId="7" borderId="12" xfId="0" applyFill="1" applyBorder="1" applyProtection="1"/>
    <xf numFmtId="0" fontId="0" fillId="7" borderId="12" xfId="0" applyFill="1" applyBorder="1" applyAlignment="1" applyProtection="1">
      <alignment horizontal="right"/>
    </xf>
    <xf numFmtId="0" fontId="11" fillId="5" borderId="0" xfId="0" applyFont="1" applyFill="1" applyBorder="1" applyAlignment="1" applyProtection="1">
      <alignment horizontal="left"/>
      <protection locked="0" hidden="1"/>
    </xf>
    <xf numFmtId="0" fontId="0" fillId="7" borderId="15" xfId="0" applyFill="1" applyBorder="1" applyProtection="1"/>
    <xf numFmtId="0" fontId="12" fillId="5" borderId="0" xfId="0" applyFont="1" applyFill="1"/>
    <xf numFmtId="0" fontId="4" fillId="5" borderId="0" xfId="0" applyFont="1" applyFill="1" applyAlignment="1">
      <alignment horizontal="center"/>
    </xf>
    <xf numFmtId="0" fontId="4" fillId="5" borderId="0" xfId="0" applyFont="1" applyFill="1"/>
    <xf numFmtId="0" fontId="12" fillId="2" borderId="1" xfId="0" applyFont="1" applyFill="1" applyBorder="1"/>
    <xf numFmtId="0" fontId="12" fillId="6" borderId="0" xfId="0" applyFont="1" applyFill="1"/>
    <xf numFmtId="0" fontId="4" fillId="4" borderId="0" xfId="0" applyFont="1" applyFill="1"/>
    <xf numFmtId="0" fontId="4" fillId="7" borderId="0" xfId="0" applyFont="1" applyFill="1"/>
    <xf numFmtId="0" fontId="12" fillId="8" borderId="0" xfId="0" applyFont="1" applyFill="1"/>
    <xf numFmtId="0" fontId="8" fillId="5" borderId="3" xfId="1" applyFont="1" applyFill="1" applyBorder="1" applyAlignment="1" applyProtection="1">
      <alignment horizontal="center" vertical="center"/>
    </xf>
    <xf numFmtId="0" fontId="8" fillId="5" borderId="0" xfId="1" applyFont="1" applyFill="1" applyBorder="1" applyAlignment="1" applyProtection="1">
      <alignment horizontal="center" vertical="center"/>
    </xf>
    <xf numFmtId="0" fontId="2" fillId="2" borderId="1" xfId="0" applyFont="1" applyFill="1" applyBorder="1" applyAlignment="1">
      <alignment horizontal="center"/>
    </xf>
  </cellXfs>
  <cellStyles count="2">
    <cellStyle name="Hyperlink" xfId="1" builtinId="8"/>
    <cellStyle name="Normal" xfId="0" builtinId="0"/>
  </cellStyles>
  <dxfs count="10">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0000"/>
        </patternFill>
      </fill>
    </dxf>
  </dxfs>
  <tableStyles count="0" defaultTableStyle="TableStyleMedium9" defaultPivotStyle="PivotStyleLight16"/>
  <colors>
    <mruColors>
      <color rgb="FFF2F2F2"/>
      <color rgb="FFD9D9D9"/>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plotArea>
      <c:layout/>
      <c:scatterChart>
        <c:scatterStyle val="lineMarker"/>
        <c:ser>
          <c:idx val="0"/>
          <c:order val="0"/>
          <c:tx>
            <c:strRef>
              <c:f>'Calculation table'!$E$27</c:f>
              <c:strCache>
                <c:ptCount val="1"/>
                <c:pt idx="0">
                  <c:v>String Voc max.</c:v>
                </c:pt>
              </c:strCache>
            </c:strRef>
          </c:tx>
          <c:spPr>
            <a:ln>
              <a:solidFill>
                <a:srgbClr val="0070C0"/>
              </a:solidFill>
            </a:ln>
          </c:spPr>
          <c:marker>
            <c:symbol val="none"/>
          </c:marker>
          <c:xVal>
            <c:numRef>
              <c:f>'Calculation table'!$A$28:$A$31</c:f>
              <c:numCache>
                <c:formatCode>General</c:formatCode>
                <c:ptCount val="4"/>
                <c:pt idx="0" formatCode="General\ &quot;°C&quot;">
                  <c:v>0</c:v>
                </c:pt>
                <c:pt idx="1">
                  <c:v>5</c:v>
                </c:pt>
                <c:pt idx="2">
                  <c:v>10</c:v>
                </c:pt>
                <c:pt idx="3">
                  <c:v>15</c:v>
                </c:pt>
              </c:numCache>
            </c:numRef>
          </c:xVal>
          <c:yVal>
            <c:numRef>
              <c:f>'Calculation table'!$E$28:$E$31</c:f>
              <c:numCache>
                <c:formatCode>0.0\ "V"</c:formatCode>
                <c:ptCount val="4"/>
                <c:pt idx="0">
                  <c:v>140.61600000000001</c:v>
                </c:pt>
                <c:pt idx="1">
                  <c:v>138.41280000000003</c:v>
                </c:pt>
                <c:pt idx="2">
                  <c:v>136.20960000000002</c:v>
                </c:pt>
                <c:pt idx="3">
                  <c:v>134.00640000000001</c:v>
                </c:pt>
              </c:numCache>
            </c:numRef>
          </c:yVal>
        </c:ser>
        <c:ser>
          <c:idx val="7"/>
          <c:order val="1"/>
          <c:tx>
            <c:strRef>
              <c:f>'Calculation table'!$G$27</c:f>
              <c:strCache>
                <c:ptCount val="1"/>
                <c:pt idx="0">
                  <c:v>String Vmpp corr.max.</c:v>
                </c:pt>
              </c:strCache>
            </c:strRef>
          </c:tx>
          <c:spPr>
            <a:ln>
              <a:solidFill>
                <a:srgbClr val="00B0F0"/>
              </a:solidFill>
            </a:ln>
          </c:spPr>
          <c:marker>
            <c:symbol val="none"/>
          </c:marker>
          <c:xVal>
            <c:numRef>
              <c:f>'Calculation table'!$A$28:$A$31</c:f>
              <c:numCache>
                <c:formatCode>General</c:formatCode>
                <c:ptCount val="4"/>
                <c:pt idx="0" formatCode="General\ &quot;°C&quot;">
                  <c:v>0</c:v>
                </c:pt>
                <c:pt idx="1">
                  <c:v>5</c:v>
                </c:pt>
                <c:pt idx="2">
                  <c:v>10</c:v>
                </c:pt>
                <c:pt idx="3">
                  <c:v>15</c:v>
                </c:pt>
              </c:numCache>
            </c:numRef>
          </c:xVal>
          <c:yVal>
            <c:numRef>
              <c:f>'Calculation table'!$G$28:$G$31</c:f>
              <c:numCache>
                <c:formatCode>0.0</c:formatCode>
                <c:ptCount val="4"/>
                <c:pt idx="0">
                  <c:v>116.49433333333334</c:v>
                </c:pt>
                <c:pt idx="1">
                  <c:v>114.29113333333335</c:v>
                </c:pt>
                <c:pt idx="2">
                  <c:v>112.08793333333334</c:v>
                </c:pt>
                <c:pt idx="3">
                  <c:v>109.88473333333334</c:v>
                </c:pt>
              </c:numCache>
            </c:numRef>
          </c:yVal>
        </c:ser>
        <c:ser>
          <c:idx val="2"/>
          <c:order val="2"/>
          <c:tx>
            <c:strRef>
              <c:f>'Calculation table'!$H$27</c:f>
              <c:strCache>
                <c:ptCount val="1"/>
                <c:pt idx="0">
                  <c:v>String Voc min.</c:v>
                </c:pt>
              </c:strCache>
            </c:strRef>
          </c:tx>
          <c:spPr>
            <a:ln>
              <a:solidFill>
                <a:srgbClr val="FFC000"/>
              </a:solidFill>
            </a:ln>
          </c:spPr>
          <c:marker>
            <c:symbol val="none"/>
          </c:marker>
          <c:xVal>
            <c:numRef>
              <c:f>'Calculation table'!$A$32:$A$35</c:f>
              <c:numCache>
                <c:formatCode>General</c:formatCode>
                <c:ptCount val="4"/>
                <c:pt idx="0">
                  <c:v>55</c:v>
                </c:pt>
                <c:pt idx="1">
                  <c:v>60</c:v>
                </c:pt>
                <c:pt idx="2">
                  <c:v>65</c:v>
                </c:pt>
                <c:pt idx="3" formatCode="General\ &quot;°C&quot;">
                  <c:v>70</c:v>
                </c:pt>
              </c:numCache>
            </c:numRef>
          </c:xVal>
          <c:yVal>
            <c:numRef>
              <c:f>'Calculation table'!$H$32:$H$35</c:f>
              <c:numCache>
                <c:formatCode>0.0\ "V"</c:formatCode>
                <c:ptCount val="4"/>
                <c:pt idx="0">
                  <c:v>116.38080000000002</c:v>
                </c:pt>
                <c:pt idx="1">
                  <c:v>114.17760000000001</c:v>
                </c:pt>
                <c:pt idx="2">
                  <c:v>111.97440000000002</c:v>
                </c:pt>
                <c:pt idx="3">
                  <c:v>109.77120000000002</c:v>
                </c:pt>
              </c:numCache>
            </c:numRef>
          </c:yVal>
        </c:ser>
        <c:ser>
          <c:idx val="8"/>
          <c:order val="3"/>
          <c:tx>
            <c:strRef>
              <c:f>'Calculation table'!$J$27</c:f>
              <c:strCache>
                <c:ptCount val="1"/>
                <c:pt idx="0">
                  <c:v>String Vmpp corr. min.</c:v>
                </c:pt>
              </c:strCache>
            </c:strRef>
          </c:tx>
          <c:spPr>
            <a:ln>
              <a:solidFill>
                <a:srgbClr val="FFFF00"/>
              </a:solidFill>
            </a:ln>
          </c:spPr>
          <c:marker>
            <c:symbol val="none"/>
          </c:marker>
          <c:xVal>
            <c:numRef>
              <c:f>'Calculation table'!$A$32:$A$35</c:f>
              <c:numCache>
                <c:formatCode>General</c:formatCode>
                <c:ptCount val="4"/>
                <c:pt idx="0">
                  <c:v>55</c:v>
                </c:pt>
                <c:pt idx="1">
                  <c:v>60</c:v>
                </c:pt>
                <c:pt idx="2">
                  <c:v>65</c:v>
                </c:pt>
                <c:pt idx="3" formatCode="General\ &quot;°C&quot;">
                  <c:v>70</c:v>
                </c:pt>
              </c:numCache>
            </c:numRef>
          </c:xVal>
          <c:yVal>
            <c:numRef>
              <c:f>'Calculation table'!$J$32:$J$35</c:f>
              <c:numCache>
                <c:formatCode>0.0\ "V"</c:formatCode>
                <c:ptCount val="4"/>
                <c:pt idx="0">
                  <c:v>92.262323472147003</c:v>
                </c:pt>
                <c:pt idx="1">
                  <c:v>90.111021689729242</c:v>
                </c:pt>
                <c:pt idx="2">
                  <c:v>87.960036155327998</c:v>
                </c:pt>
                <c:pt idx="3">
                  <c:v>85.809366868943243</c:v>
                </c:pt>
              </c:numCache>
            </c:numRef>
          </c:yVal>
        </c:ser>
        <c:ser>
          <c:idx val="4"/>
          <c:order val="4"/>
          <c:tx>
            <c:strRef>
              <c:f>'Calculation table'!$B$27</c:f>
              <c:strCache>
                <c:ptCount val="1"/>
                <c:pt idx="0">
                  <c:v>Voc max.</c:v>
                </c:pt>
              </c:strCache>
            </c:strRef>
          </c:tx>
          <c:spPr>
            <a:ln>
              <a:solidFill>
                <a:srgbClr val="FF0000"/>
              </a:solidFill>
            </a:ln>
          </c:spPr>
          <c:marker>
            <c:symbol val="none"/>
          </c:marker>
          <c:xVal>
            <c:numRef>
              <c:f>'Calculation table'!$A$28:$A$35</c:f>
              <c:numCache>
                <c:formatCode>General</c:formatCode>
                <c:ptCount val="8"/>
                <c:pt idx="0" formatCode="General\ &quot;°C&quot;">
                  <c:v>0</c:v>
                </c:pt>
                <c:pt idx="1">
                  <c:v>5</c:v>
                </c:pt>
                <c:pt idx="2">
                  <c:v>10</c:v>
                </c:pt>
                <c:pt idx="3">
                  <c:v>15</c:v>
                </c:pt>
                <c:pt idx="4">
                  <c:v>55</c:v>
                </c:pt>
                <c:pt idx="5">
                  <c:v>60</c:v>
                </c:pt>
                <c:pt idx="6">
                  <c:v>65</c:v>
                </c:pt>
                <c:pt idx="7" formatCode="General\ &quot;°C&quot;">
                  <c:v>70</c:v>
                </c:pt>
              </c:numCache>
            </c:numRef>
          </c:xVal>
          <c:yVal>
            <c:numRef>
              <c:f>'Calculation table'!$B$28:$B$35</c:f>
              <c:numCache>
                <c:formatCode>0.0\ "V"</c:formatCode>
                <c:ptCount val="8"/>
                <c:pt idx="0">
                  <c:v>150</c:v>
                </c:pt>
                <c:pt idx="1">
                  <c:v>150</c:v>
                </c:pt>
                <c:pt idx="2">
                  <c:v>150</c:v>
                </c:pt>
                <c:pt idx="3">
                  <c:v>150</c:v>
                </c:pt>
                <c:pt idx="4">
                  <c:v>150</c:v>
                </c:pt>
                <c:pt idx="5">
                  <c:v>150</c:v>
                </c:pt>
                <c:pt idx="6">
                  <c:v>150</c:v>
                </c:pt>
                <c:pt idx="7">
                  <c:v>150</c:v>
                </c:pt>
              </c:numCache>
            </c:numRef>
          </c:yVal>
        </c:ser>
        <c:ser>
          <c:idx val="5"/>
          <c:order val="5"/>
          <c:tx>
            <c:strRef>
              <c:f>'Calculation table'!$C$27</c:f>
              <c:strCache>
                <c:ptCount val="1"/>
                <c:pt idx="0">
                  <c:v>Voc START min.</c:v>
                </c:pt>
              </c:strCache>
            </c:strRef>
          </c:tx>
          <c:spPr>
            <a:ln>
              <a:solidFill>
                <a:schemeClr val="tx2">
                  <a:lumMod val="20000"/>
                  <a:lumOff val="80000"/>
                </a:schemeClr>
              </a:solidFill>
              <a:prstDash val="dash"/>
            </a:ln>
          </c:spPr>
          <c:marker>
            <c:symbol val="none"/>
          </c:marker>
          <c:xVal>
            <c:numRef>
              <c:f>'Calculation table'!$A$28:$A$35</c:f>
              <c:numCache>
                <c:formatCode>General</c:formatCode>
                <c:ptCount val="8"/>
                <c:pt idx="0" formatCode="General\ &quot;°C&quot;">
                  <c:v>0</c:v>
                </c:pt>
                <c:pt idx="1">
                  <c:v>5</c:v>
                </c:pt>
                <c:pt idx="2">
                  <c:v>10</c:v>
                </c:pt>
                <c:pt idx="3">
                  <c:v>15</c:v>
                </c:pt>
                <c:pt idx="4">
                  <c:v>55</c:v>
                </c:pt>
                <c:pt idx="5">
                  <c:v>60</c:v>
                </c:pt>
                <c:pt idx="6">
                  <c:v>65</c:v>
                </c:pt>
                <c:pt idx="7" formatCode="General\ &quot;°C&quot;">
                  <c:v>70</c:v>
                </c:pt>
              </c:numCache>
            </c:numRef>
          </c:xVal>
          <c:yVal>
            <c:numRef>
              <c:f>'Calculation table'!$C$28:$C$35</c:f>
              <c:numCache>
                <c:formatCode>0.0\ "V"</c:formatCode>
                <c:ptCount val="8"/>
                <c:pt idx="0">
                  <c:v>55</c:v>
                </c:pt>
                <c:pt idx="1">
                  <c:v>55</c:v>
                </c:pt>
                <c:pt idx="2">
                  <c:v>55</c:v>
                </c:pt>
                <c:pt idx="3">
                  <c:v>55</c:v>
                </c:pt>
                <c:pt idx="4">
                  <c:v>55</c:v>
                </c:pt>
                <c:pt idx="5">
                  <c:v>55</c:v>
                </c:pt>
                <c:pt idx="6">
                  <c:v>55</c:v>
                </c:pt>
                <c:pt idx="7">
                  <c:v>55</c:v>
                </c:pt>
              </c:numCache>
            </c:numRef>
          </c:yVal>
        </c:ser>
        <c:ser>
          <c:idx val="6"/>
          <c:order val="6"/>
          <c:tx>
            <c:strRef>
              <c:f>'Calculation table'!$D$27</c:f>
              <c:strCache>
                <c:ptCount val="1"/>
                <c:pt idx="0">
                  <c:v>Vmpp RUN min.</c:v>
                </c:pt>
              </c:strCache>
            </c:strRef>
          </c:tx>
          <c:marker>
            <c:symbol val="none"/>
          </c:marker>
          <c:xVal>
            <c:numRef>
              <c:f>'Calculation table'!$A$28:$A$35</c:f>
              <c:numCache>
                <c:formatCode>General</c:formatCode>
                <c:ptCount val="8"/>
                <c:pt idx="0" formatCode="General\ &quot;°C&quot;">
                  <c:v>0</c:v>
                </c:pt>
                <c:pt idx="1">
                  <c:v>5</c:v>
                </c:pt>
                <c:pt idx="2">
                  <c:v>10</c:v>
                </c:pt>
                <c:pt idx="3">
                  <c:v>15</c:v>
                </c:pt>
                <c:pt idx="4">
                  <c:v>55</c:v>
                </c:pt>
                <c:pt idx="5">
                  <c:v>60</c:v>
                </c:pt>
                <c:pt idx="6">
                  <c:v>65</c:v>
                </c:pt>
                <c:pt idx="7" formatCode="General\ &quot;°C&quot;">
                  <c:v>70</c:v>
                </c:pt>
              </c:numCache>
            </c:numRef>
          </c:xVal>
          <c:yVal>
            <c:numRef>
              <c:f>'Calculation table'!$D$28:$D$35</c:f>
              <c:numCache>
                <c:formatCode>0.0\ "V"</c:formatCode>
                <c:ptCount val="8"/>
                <c:pt idx="0">
                  <c:v>49</c:v>
                </c:pt>
                <c:pt idx="1">
                  <c:v>49</c:v>
                </c:pt>
                <c:pt idx="2">
                  <c:v>49</c:v>
                </c:pt>
                <c:pt idx="3">
                  <c:v>49</c:v>
                </c:pt>
                <c:pt idx="4">
                  <c:v>49</c:v>
                </c:pt>
                <c:pt idx="5">
                  <c:v>49</c:v>
                </c:pt>
                <c:pt idx="6">
                  <c:v>49</c:v>
                </c:pt>
                <c:pt idx="7">
                  <c:v>49</c:v>
                </c:pt>
              </c:numCache>
            </c:numRef>
          </c:yVal>
        </c:ser>
        <c:dLbls/>
        <c:axId val="69812992"/>
        <c:axId val="69814528"/>
      </c:scatterChart>
      <c:valAx>
        <c:axId val="69812992"/>
        <c:scaling>
          <c:orientation val="minMax"/>
        </c:scaling>
        <c:axPos val="b"/>
        <c:numFmt formatCode="General\ &quot;°C&quot;" sourceLinked="1"/>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69814528"/>
        <c:crosses val="autoZero"/>
        <c:crossBetween val="midCat"/>
      </c:valAx>
      <c:valAx>
        <c:axId val="69814528"/>
        <c:scaling>
          <c:orientation val="minMax"/>
        </c:scaling>
        <c:axPos val="l"/>
        <c:majorGridlines/>
        <c:numFmt formatCode="0.0\ &quot;V&quot;" sourceLinked="1"/>
        <c:tickLblPos val="nextTo"/>
        <c:crossAx val="69812992"/>
        <c:crosses val="autoZero"/>
        <c:crossBetween val="midCat"/>
      </c:valAx>
    </c:plotArea>
    <c:legend>
      <c:legendPos val="b"/>
      <c:layout>
        <c:manualLayout>
          <c:xMode val="edge"/>
          <c:yMode val="edge"/>
          <c:x val="4.3956457634030804E-3"/>
          <c:y val="0.81327489133440822"/>
          <c:w val="0.9891399232466459"/>
          <c:h val="0.18672510866559178"/>
        </c:manualLayout>
      </c:layout>
    </c:legend>
    <c:plotVisOnly val="1"/>
    <c:dispBlanksAs val="gap"/>
  </c:chart>
  <c:printSettings>
    <c:headerFooter/>
    <c:pageMargins b="0.75000000000000211" l="0.70000000000000062" r="0.70000000000000062" t="0.750000000000002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6.1084656084656082E-2"/>
          <c:y val="2.7721641703453086E-2"/>
          <c:w val="0.88187830687830693"/>
          <c:h val="0.7647014529669719"/>
        </c:manualLayout>
      </c:layout>
      <c:scatterChart>
        <c:scatterStyle val="lineMarker"/>
        <c:ser>
          <c:idx val="0"/>
          <c:order val="0"/>
          <c:tx>
            <c:strRef>
              <c:f>'Calculation table'!$B$37</c:f>
              <c:strCache>
                <c:ptCount val="1"/>
                <c:pt idx="0">
                  <c:v>Ibat max.</c:v>
                </c:pt>
              </c:strCache>
            </c:strRef>
          </c:tx>
          <c:spPr>
            <a:ln>
              <a:solidFill>
                <a:srgbClr val="FF0000"/>
              </a:solidFill>
            </a:ln>
          </c:spPr>
          <c:marker>
            <c:symbol val="none"/>
          </c:marker>
          <c:xVal>
            <c:numRef>
              <c:f>'Calculation table'!$A$38:$A$45</c:f>
              <c:numCache>
                <c:formatCode>General</c:formatCode>
                <c:ptCount val="8"/>
                <c:pt idx="0" formatCode="General\ &quot;°C&quot;">
                  <c:v>0</c:v>
                </c:pt>
                <c:pt idx="1">
                  <c:v>5</c:v>
                </c:pt>
                <c:pt idx="2">
                  <c:v>10</c:v>
                </c:pt>
                <c:pt idx="3">
                  <c:v>15</c:v>
                </c:pt>
                <c:pt idx="4">
                  <c:v>55</c:v>
                </c:pt>
                <c:pt idx="5">
                  <c:v>60</c:v>
                </c:pt>
                <c:pt idx="6">
                  <c:v>65</c:v>
                </c:pt>
                <c:pt idx="7" formatCode="General\ &quot;°C&quot;">
                  <c:v>70</c:v>
                </c:pt>
              </c:numCache>
            </c:numRef>
          </c:xVal>
          <c:yVal>
            <c:numRef>
              <c:f>'Calculation table'!$B$38:$B$45</c:f>
              <c:numCache>
                <c:formatCode>0.0\ "A"</c:formatCode>
                <c:ptCount val="8"/>
                <c:pt idx="0">
                  <c:v>85</c:v>
                </c:pt>
                <c:pt idx="1">
                  <c:v>85</c:v>
                </c:pt>
                <c:pt idx="2">
                  <c:v>85</c:v>
                </c:pt>
                <c:pt idx="3">
                  <c:v>85</c:v>
                </c:pt>
                <c:pt idx="4">
                  <c:v>85</c:v>
                </c:pt>
                <c:pt idx="5">
                  <c:v>85</c:v>
                </c:pt>
                <c:pt idx="6">
                  <c:v>85</c:v>
                </c:pt>
                <c:pt idx="7">
                  <c:v>85</c:v>
                </c:pt>
              </c:numCache>
            </c:numRef>
          </c:yVal>
        </c:ser>
        <c:ser>
          <c:idx val="2"/>
          <c:order val="1"/>
          <c:tx>
            <c:strRef>
              <c:f>'Calculation table'!$E$37</c:f>
              <c:strCache>
                <c:ptCount val="1"/>
                <c:pt idx="0">
                  <c:v>Ibat max. @ Impp</c:v>
                </c:pt>
              </c:strCache>
            </c:strRef>
          </c:tx>
          <c:spPr>
            <a:ln>
              <a:solidFill>
                <a:srgbClr val="0070C0"/>
              </a:solidFill>
            </a:ln>
          </c:spPr>
          <c:marker>
            <c:symbol val="none"/>
          </c:marker>
          <c:xVal>
            <c:numRef>
              <c:f>'Calculation table'!$A$38:$A$41</c:f>
              <c:numCache>
                <c:formatCode>General</c:formatCode>
                <c:ptCount val="4"/>
                <c:pt idx="0" formatCode="General\ &quot;°C&quot;">
                  <c:v>0</c:v>
                </c:pt>
                <c:pt idx="1">
                  <c:v>5</c:v>
                </c:pt>
                <c:pt idx="2">
                  <c:v>10</c:v>
                </c:pt>
                <c:pt idx="3">
                  <c:v>15</c:v>
                </c:pt>
              </c:numCache>
            </c:numRef>
          </c:xVal>
          <c:yVal>
            <c:numRef>
              <c:f>'Calculation table'!$E$38:$E$41</c:f>
              <c:numCache>
                <c:formatCode>0.00\ "A"</c:formatCode>
                <c:ptCount val="4"/>
                <c:pt idx="0">
                  <c:v>85</c:v>
                </c:pt>
                <c:pt idx="1">
                  <c:v>85</c:v>
                </c:pt>
                <c:pt idx="2">
                  <c:v>85</c:v>
                </c:pt>
                <c:pt idx="3">
                  <c:v>85</c:v>
                </c:pt>
              </c:numCache>
            </c:numRef>
          </c:yVal>
        </c:ser>
        <c:ser>
          <c:idx val="4"/>
          <c:order val="2"/>
          <c:tx>
            <c:strRef>
              <c:f>'Calculation table'!$F$37</c:f>
              <c:strCache>
                <c:ptCount val="1"/>
                <c:pt idx="0">
                  <c:v>Ibat min. @ Impp</c:v>
                </c:pt>
              </c:strCache>
            </c:strRef>
          </c:tx>
          <c:spPr>
            <a:ln>
              <a:solidFill>
                <a:srgbClr val="FFC000"/>
              </a:solidFill>
            </a:ln>
          </c:spPr>
          <c:marker>
            <c:symbol val="none"/>
          </c:marker>
          <c:xVal>
            <c:numRef>
              <c:f>'Calculation table'!$A$42:$A$45</c:f>
              <c:numCache>
                <c:formatCode>General</c:formatCode>
                <c:ptCount val="4"/>
                <c:pt idx="0">
                  <c:v>55</c:v>
                </c:pt>
                <c:pt idx="1">
                  <c:v>60</c:v>
                </c:pt>
                <c:pt idx="2">
                  <c:v>65</c:v>
                </c:pt>
                <c:pt idx="3" formatCode="General\ &quot;°C&quot;">
                  <c:v>70</c:v>
                </c:pt>
              </c:numCache>
            </c:numRef>
          </c:xVal>
          <c:yVal>
            <c:numRef>
              <c:f>'Calculation table'!$F$42:$F$45</c:f>
              <c:numCache>
                <c:formatCode>0.00\ "A"</c:formatCode>
                <c:ptCount val="4"/>
                <c:pt idx="0">
                  <c:v>84.892467230999998</c:v>
                </c:pt>
                <c:pt idx="1">
                  <c:v>83.143089110249988</c:v>
                </c:pt>
                <c:pt idx="2">
                  <c:v>81.383050944000004</c:v>
                </c:pt>
                <c:pt idx="3">
                  <c:v>79.612352732250002</c:v>
                </c:pt>
              </c:numCache>
            </c:numRef>
          </c:yVal>
        </c:ser>
        <c:dLbls/>
        <c:axId val="69837184"/>
        <c:axId val="69838720"/>
      </c:scatterChart>
      <c:valAx>
        <c:axId val="69837184"/>
        <c:scaling>
          <c:orientation val="minMax"/>
        </c:scaling>
        <c:axPos val="b"/>
        <c:numFmt formatCode="General\ &quot;°C&quot;" sourceLinked="1"/>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69838720"/>
        <c:crosses val="autoZero"/>
        <c:crossBetween val="midCat"/>
      </c:valAx>
      <c:valAx>
        <c:axId val="69838720"/>
        <c:scaling>
          <c:orientation val="minMax"/>
          <c:min val="0"/>
        </c:scaling>
        <c:axPos val="l"/>
        <c:majorGridlines/>
        <c:numFmt formatCode="0.0\ &quot;A&quot;" sourceLinked="1"/>
        <c:tickLblPos val="nextTo"/>
        <c:crossAx val="69837184"/>
        <c:crosses val="autoZero"/>
        <c:crossBetween val="midCat"/>
      </c:valAx>
    </c:plotArea>
    <c:legend>
      <c:legendPos val="b"/>
      <c:layout>
        <c:manualLayout>
          <c:xMode val="edge"/>
          <c:yMode val="edge"/>
          <c:x val="0.12659500895721371"/>
          <c:y val="0.88743340482042044"/>
          <c:w val="0.77855580552431058"/>
          <c:h val="4.5150827319547393E-2"/>
        </c:manualLayout>
      </c:layout>
    </c:legend>
    <c:plotVisOnly val="1"/>
    <c:dispBlanksAs val="gap"/>
  </c:chart>
  <c:printSettings>
    <c:headerFooter/>
    <c:pageMargins b="0.75000000000000211" l="0.70000000000000062" r="0.70000000000000062" t="0.75000000000000211" header="0.30000000000000032" footer="0.30000000000000032"/>
    <c:pageSetup/>
  </c:printSettings>
</c:chartSpace>
</file>

<file path=xl/ctrlProps/ctrlProp1.xml><?xml version="1.0" encoding="utf-8"?>
<formControlPr xmlns="http://schemas.microsoft.com/office/spreadsheetml/2009/9/main" objectType="Drop" dropLines="13" dropStyle="combo" dx="22" fmlaLink="$D$4" fmlaRange="Modules!$A$2:$A$17" sel="5" val="3"/>
</file>

<file path=xl/ctrlProps/ctrlProp10.xml><?xml version="1.0" encoding="utf-8"?>
<formControlPr xmlns="http://schemas.microsoft.com/office/spreadsheetml/2009/9/main" objectType="Radio" lockText="1"/>
</file>

<file path=xl/ctrlProps/ctrlProp11.xml><?xml version="1.0" encoding="utf-8"?>
<formControlPr xmlns="http://schemas.microsoft.com/office/spreadsheetml/2009/9/main" objectType="Radio" lockText="1"/>
</file>

<file path=xl/ctrlProps/ctrlProp12.xml><?xml version="1.0" encoding="utf-8"?>
<formControlPr xmlns="http://schemas.microsoft.com/office/spreadsheetml/2009/9/main" objectType="Radio" checked="Checked" lockText="1"/>
</file>

<file path=xl/ctrlProps/ctrlProp13.xml><?xml version="1.0" encoding="utf-8"?>
<formControlPr xmlns="http://schemas.microsoft.com/office/spreadsheetml/2009/9/main" objectType="Spin" dx="22" fmlaLink="$E$16" max="100" min="1" page="10" val="5"/>
</file>

<file path=xl/ctrlProps/ctrlProp14.xml><?xml version="1.0" encoding="utf-8"?>
<formControlPr xmlns="http://schemas.microsoft.com/office/spreadsheetml/2009/9/main" objectType="Spin" dx="22" fmlaLink="$H$16" max="5" min="1" page="10" val="3"/>
</file>

<file path=xl/ctrlProps/ctrlProp15.xml><?xml version="1.0" encoding="utf-8"?>
<formControlPr xmlns="http://schemas.microsoft.com/office/spreadsheetml/2009/9/main" objectType="CheckBox" fmlaLink="$J$31" lockText="1" noThreeD="1"/>
</file>

<file path=xl/ctrlProps/ctrlProp2.xml><?xml version="1.0" encoding="utf-8"?>
<formControlPr xmlns="http://schemas.microsoft.com/office/spreadsheetml/2009/9/main" objectType="Drop" dropStyle="combo" dx="22" fmlaLink="$D$12" fmlaRange="Regulator!$C$2:$C$9" sel="8" val="0"/>
</file>

<file path=xl/ctrlProps/ctrlProp3.xml><?xml version="1.0" encoding="utf-8"?>
<formControlPr xmlns="http://schemas.microsoft.com/office/spreadsheetml/2009/9/main" objectType="Drop" dropLines="4" dropStyle="combo" dx="22" fmlaLink="$E$14" fmlaRange="Form!$J$11:$J$14" sel="4" val="0"/>
</file>

<file path=xl/ctrlProps/ctrlProp4.xml><?xml version="1.0" encoding="utf-8"?>
<formControlPr xmlns="http://schemas.microsoft.com/office/spreadsheetml/2009/9/main" objectType="Spin" dx="16" fmlaLink="$D$6" max="50" min="1" page="10" val="6"/>
</file>

<file path=xl/ctrlProps/ctrlProp5.xml><?xml version="1.0" encoding="utf-8"?>
<formControlPr xmlns="http://schemas.microsoft.com/office/spreadsheetml/2009/9/main" objectType="Spin" dx="16" fmlaLink="$G$6" max="50" min="1" page="10" val="6"/>
</file>

<file path=xl/ctrlProps/ctrlProp6.xml><?xml version="1.0" encoding="utf-8"?>
<formControlPr xmlns="http://schemas.microsoft.com/office/spreadsheetml/2009/9/main" objectType="Spin" dx="22" fmlaLink="$E$9" max="125" page="10" val="25"/>
</file>

<file path=xl/ctrlProps/ctrlProp7.xml><?xml version="1.0" encoding="utf-8"?>
<formControlPr xmlns="http://schemas.microsoft.com/office/spreadsheetml/2009/9/main" objectType="Spin" dx="22" fmlaLink="$G$10" max="100" page="10" val="70"/>
</file>

<file path=xl/ctrlProps/ctrlProp8.xml><?xml version="1.0" encoding="utf-8"?>
<formControlPr xmlns="http://schemas.microsoft.com/office/spreadsheetml/2009/9/main" objectType="Radio" firstButton="1" fmlaLink="$H$3" lockText="1"/>
</file>

<file path=xl/ctrlProps/ctrlProp9.xml><?xml version="1.0" encoding="utf-8"?>
<formControlPr xmlns="http://schemas.microsoft.com/office/spreadsheetml/2009/9/main" objectType="Radio" lockText="1"/>
</file>

<file path=xl/drawings/_rels/drawing1.xml.rels><?xml version="1.0" encoding="UTF-8" standalone="yes"?>
<Relationships xmlns="http://schemas.openxmlformats.org/package/2006/relationships"><Relationship Id="rId8" Type="http://schemas.openxmlformats.org/officeDocument/2006/relationships/image" Target="../media/image5.jpeg"/><Relationship Id="rId3" Type="http://schemas.openxmlformats.org/officeDocument/2006/relationships/chart" Target="../charts/chart1.xml"/><Relationship Id="rId7" Type="http://schemas.openxmlformats.org/officeDocument/2006/relationships/image" Target="../media/image4.jpeg"/><Relationship Id="rId2" Type="http://schemas.openxmlformats.org/officeDocument/2006/relationships/image" Target="../media/image1.jpeg"/><Relationship Id="rId1" Type="http://schemas.openxmlformats.org/officeDocument/2006/relationships/hyperlink" Target="http://www.victronenergy.com/" TargetMode="External"/><Relationship Id="rId6" Type="http://schemas.openxmlformats.org/officeDocument/2006/relationships/image" Target="../media/image3.jpeg"/><Relationship Id="rId5" Type="http://schemas.openxmlformats.org/officeDocument/2006/relationships/image" Target="../media/image2.jpeg"/><Relationship Id="rId4" Type="http://schemas.openxmlformats.org/officeDocument/2006/relationships/chart" Target="../charts/chart2.xml"/><Relationship Id="rId9"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171450</xdr:colOff>
      <xdr:row>1</xdr:row>
      <xdr:rowOff>178707</xdr:rowOff>
    </xdr:to>
    <xdr:pic>
      <xdr:nvPicPr>
        <xdr:cNvPr id="1053" name="Picture 1" descr="logo kleur.jpg">
          <a:hlinkClick xmlns:r="http://schemas.openxmlformats.org/officeDocument/2006/relationships" r:id="rId1"/>
        </xdr:cNvPr>
        <xdr:cNvPicPr>
          <a:picLocks noChangeAspect="1"/>
        </xdr:cNvPicPr>
      </xdr:nvPicPr>
      <xdr:blipFill>
        <a:blip xmlns:r="http://schemas.openxmlformats.org/officeDocument/2006/relationships" r:embed="rId2" cstate="print">
          <a:clrChange>
            <a:clrFrom>
              <a:srgbClr val="FFFFFE"/>
            </a:clrFrom>
            <a:clrTo>
              <a:srgbClr val="FFFFFE">
                <a:alpha val="0"/>
              </a:srgbClr>
            </a:clrTo>
          </a:clrChange>
          <a:extLst>
            <a:ext uri="{28A0092B-C50C-407E-A947-70E740481C1C}">
              <a14:useLocalDpi xmlns:a14="http://schemas.microsoft.com/office/drawing/2010/main" xmlns="" val="0"/>
            </a:ext>
          </a:extLst>
        </a:blip>
        <a:srcRect/>
        <a:stretch>
          <a:fillRect/>
        </a:stretch>
      </xdr:blipFill>
      <xdr:spPr bwMode="auto">
        <a:xfrm>
          <a:off x="0" y="0"/>
          <a:ext cx="1676400" cy="369207"/>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absolute">
    <xdr:from>
      <xdr:col>9</xdr:col>
      <xdr:colOff>15875</xdr:colOff>
      <xdr:row>1</xdr:row>
      <xdr:rowOff>0</xdr:rowOff>
    </xdr:from>
    <xdr:to>
      <xdr:col>16</xdr:col>
      <xdr:colOff>530225</xdr:colOff>
      <xdr:row>26</xdr:row>
      <xdr:rowOff>9525</xdr:rowOff>
    </xdr:to>
    <xdr:graphicFrame macro="">
      <xdr:nvGraphicFramePr>
        <xdr:cNvPr id="1054" name="Chart 9"/>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17</xdr:col>
      <xdr:colOff>15875</xdr:colOff>
      <xdr:row>1</xdr:row>
      <xdr:rowOff>0</xdr:rowOff>
    </xdr:from>
    <xdr:to>
      <xdr:col>24</xdr:col>
      <xdr:colOff>549275</xdr:colOff>
      <xdr:row>26</xdr:row>
      <xdr:rowOff>9525</xdr:rowOff>
    </xdr:to>
    <xdr:graphicFrame macro="">
      <xdr:nvGraphicFramePr>
        <xdr:cNvPr id="1055" name="Chart 10"/>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7</xdr:col>
      <xdr:colOff>628650</xdr:colOff>
      <xdr:row>0</xdr:row>
      <xdr:rowOff>28254</xdr:rowOff>
    </xdr:from>
    <xdr:to>
      <xdr:col>7</xdr:col>
      <xdr:colOff>806449</xdr:colOff>
      <xdr:row>1</xdr:row>
      <xdr:rowOff>9526</xdr:rowOff>
    </xdr:to>
    <xdr:pic>
      <xdr:nvPicPr>
        <xdr:cNvPr id="5" name="Picture 4" descr="ENG.jpg"/>
        <xdr:cNvPicPr>
          <a:picLocks noChangeAspect="1"/>
        </xdr:cNvPicPr>
      </xdr:nvPicPr>
      <xdr:blipFill>
        <a:blip xmlns:r="http://schemas.openxmlformats.org/officeDocument/2006/relationships" r:embed="rId5" cstate="print"/>
        <a:stretch>
          <a:fillRect/>
        </a:stretch>
      </xdr:blipFill>
      <xdr:spPr>
        <a:xfrm>
          <a:off x="5400675" y="28254"/>
          <a:ext cx="177799" cy="171772"/>
        </a:xfrm>
        <a:prstGeom prst="rect">
          <a:avLst/>
        </a:prstGeom>
      </xdr:spPr>
    </xdr:pic>
    <xdr:clientData/>
  </xdr:twoCellAnchor>
  <xdr:twoCellAnchor editAs="oneCell">
    <xdr:from>
      <xdr:col>7</xdr:col>
      <xdr:colOff>380744</xdr:colOff>
      <xdr:row>0</xdr:row>
      <xdr:rowOff>29295</xdr:rowOff>
    </xdr:from>
    <xdr:to>
      <xdr:col>7</xdr:col>
      <xdr:colOff>560140</xdr:colOff>
      <xdr:row>1</xdr:row>
      <xdr:rowOff>12110</xdr:rowOff>
    </xdr:to>
    <xdr:pic>
      <xdr:nvPicPr>
        <xdr:cNvPr id="6" name="Picture 5" descr="NL.jpg"/>
        <xdr:cNvPicPr>
          <a:picLocks noChangeAspect="1"/>
        </xdr:cNvPicPr>
      </xdr:nvPicPr>
      <xdr:blipFill>
        <a:blip xmlns:r="http://schemas.openxmlformats.org/officeDocument/2006/relationships" r:embed="rId6" cstate="print"/>
        <a:stretch>
          <a:fillRect/>
        </a:stretch>
      </xdr:blipFill>
      <xdr:spPr>
        <a:xfrm>
          <a:off x="5152769" y="29295"/>
          <a:ext cx="179396" cy="173315"/>
        </a:xfrm>
        <a:prstGeom prst="rect">
          <a:avLst/>
        </a:prstGeom>
      </xdr:spPr>
    </xdr:pic>
    <xdr:clientData/>
  </xdr:twoCellAnchor>
  <xdr:twoCellAnchor editAs="oneCell">
    <xdr:from>
      <xdr:col>7</xdr:col>
      <xdr:colOff>133095</xdr:colOff>
      <xdr:row>0</xdr:row>
      <xdr:rowOff>29295</xdr:rowOff>
    </xdr:from>
    <xdr:to>
      <xdr:col>7</xdr:col>
      <xdr:colOff>312491</xdr:colOff>
      <xdr:row>1</xdr:row>
      <xdr:rowOff>12110</xdr:rowOff>
    </xdr:to>
    <xdr:pic>
      <xdr:nvPicPr>
        <xdr:cNvPr id="7" name="Picture 6" descr="ES.jpg"/>
        <xdr:cNvPicPr>
          <a:picLocks noChangeAspect="1"/>
        </xdr:cNvPicPr>
      </xdr:nvPicPr>
      <xdr:blipFill>
        <a:blip xmlns:r="http://schemas.openxmlformats.org/officeDocument/2006/relationships" r:embed="rId7" cstate="print"/>
        <a:stretch>
          <a:fillRect/>
        </a:stretch>
      </xdr:blipFill>
      <xdr:spPr>
        <a:xfrm>
          <a:off x="4905120" y="29295"/>
          <a:ext cx="179396" cy="173315"/>
        </a:xfrm>
        <a:prstGeom prst="rect">
          <a:avLst/>
        </a:prstGeom>
      </xdr:spPr>
    </xdr:pic>
    <xdr:clientData/>
  </xdr:twoCellAnchor>
  <xdr:twoCellAnchor editAs="oneCell">
    <xdr:from>
      <xdr:col>6</xdr:col>
      <xdr:colOff>523620</xdr:colOff>
      <xdr:row>0</xdr:row>
      <xdr:rowOff>29295</xdr:rowOff>
    </xdr:from>
    <xdr:to>
      <xdr:col>7</xdr:col>
      <xdr:colOff>64841</xdr:colOff>
      <xdr:row>1</xdr:row>
      <xdr:rowOff>12110</xdr:rowOff>
    </xdr:to>
    <xdr:pic>
      <xdr:nvPicPr>
        <xdr:cNvPr id="8" name="Picture 7" descr="DE.jpg"/>
        <xdr:cNvPicPr>
          <a:picLocks noChangeAspect="1"/>
        </xdr:cNvPicPr>
      </xdr:nvPicPr>
      <xdr:blipFill>
        <a:blip xmlns:r="http://schemas.openxmlformats.org/officeDocument/2006/relationships" r:embed="rId8" cstate="print"/>
        <a:stretch>
          <a:fillRect/>
        </a:stretch>
      </xdr:blipFill>
      <xdr:spPr>
        <a:xfrm>
          <a:off x="4657470" y="29295"/>
          <a:ext cx="179396" cy="173315"/>
        </a:xfrm>
        <a:prstGeom prst="rect">
          <a:avLst/>
        </a:prstGeom>
      </xdr:spPr>
    </xdr:pic>
    <xdr:clientData/>
  </xdr:twoCellAnchor>
  <xdr:twoCellAnchor editAs="oneCell">
    <xdr:from>
      <xdr:col>6</xdr:col>
      <xdr:colOff>275970</xdr:colOff>
      <xdr:row>0</xdr:row>
      <xdr:rowOff>29295</xdr:rowOff>
    </xdr:from>
    <xdr:to>
      <xdr:col>6</xdr:col>
      <xdr:colOff>455366</xdr:colOff>
      <xdr:row>1</xdr:row>
      <xdr:rowOff>12110</xdr:rowOff>
    </xdr:to>
    <xdr:pic>
      <xdr:nvPicPr>
        <xdr:cNvPr id="9" name="Picture 8" descr="FR.jpg"/>
        <xdr:cNvPicPr>
          <a:picLocks noChangeAspect="1"/>
        </xdr:cNvPicPr>
      </xdr:nvPicPr>
      <xdr:blipFill>
        <a:blip xmlns:r="http://schemas.openxmlformats.org/officeDocument/2006/relationships" r:embed="rId9" cstate="print"/>
        <a:stretch>
          <a:fillRect/>
        </a:stretch>
      </xdr:blipFill>
      <xdr:spPr>
        <a:xfrm>
          <a:off x="4409820" y="29295"/>
          <a:ext cx="179396" cy="17331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1" Type="http://schemas.openxmlformats.org/officeDocument/2006/relationships/hyperlink" Target="http://www.victronenergy.com/solar/solar-charge-controllers/"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codeName="Sheet1">
    <pageSetUpPr fitToPage="1"/>
  </sheetPr>
  <dimension ref="A1:BC229"/>
  <sheetViews>
    <sheetView tabSelected="1" zoomScaleNormal="100" workbookViewId="0">
      <selection activeCell="F34" sqref="F34"/>
    </sheetView>
  </sheetViews>
  <sheetFormatPr defaultRowHeight="15"/>
  <cols>
    <col min="1" max="1" width="1.7109375" style="10" customWidth="1"/>
    <col min="2" max="2" width="20.85546875" style="10" customWidth="1"/>
    <col min="3" max="3" width="6.28515625" style="10" customWidth="1"/>
    <col min="4" max="5" width="9.5703125" style="10" customWidth="1"/>
    <col min="6" max="6" width="19.7109375" style="10" customWidth="1"/>
    <col min="7" max="7" width="9.5703125" style="10" customWidth="1"/>
    <col min="8" max="8" width="13.85546875" style="10" customWidth="1"/>
    <col min="9" max="9" width="1.28515625" style="57" customWidth="1"/>
    <col min="10" max="10" width="9.140625" style="57" customWidth="1"/>
    <col min="11" max="16" width="9.140625" style="57"/>
    <col min="17" max="17" width="9.140625" style="57" customWidth="1"/>
    <col min="18" max="55" width="9.140625" style="57"/>
    <col min="56" max="16384" width="9.140625" style="10"/>
  </cols>
  <sheetData>
    <row r="1" spans="1:18">
      <c r="A1" s="7"/>
      <c r="B1" s="87"/>
      <c r="C1" s="87"/>
      <c r="D1" s="120" t="s">
        <v>66</v>
      </c>
      <c r="E1" s="120"/>
      <c r="F1" s="120"/>
      <c r="G1" s="8"/>
      <c r="H1" s="9"/>
      <c r="J1" s="59" t="str">
        <f>IF(H3=5,INDEX(Language!B4:F35,29,1),IF(H3=4,INDEX(Language!B4:F35,29,2),IF(H3=3,INDEX(Language!B4:F35,29,3),IF(H3=2,INDEX(Language!B4:F35,29,4),INDEX(Language!B4:F35,29,5)))))</f>
        <v>Voltage window</v>
      </c>
      <c r="R1" s="59" t="str">
        <f>IF(H3=5,INDEX(Language!B4:F35,30,1),IF(H3=4,INDEX(Language!B4:F35,30,2),IF(H3=3,INDEX(Language!B4:F35,30,3),IF(H3=2,INDEX(Language!B4:F35,30,4),INDEX(Language!B4:F35,30,5)))))</f>
        <v>Current window</v>
      </c>
    </row>
    <row r="2" spans="1:18">
      <c r="A2" s="11"/>
      <c r="B2" s="88"/>
      <c r="C2" s="88"/>
      <c r="D2" s="121"/>
      <c r="E2" s="121"/>
      <c r="F2" s="121"/>
      <c r="G2" s="12"/>
      <c r="H2" s="13"/>
    </row>
    <row r="3" spans="1:18">
      <c r="A3" s="14"/>
      <c r="B3" s="15"/>
      <c r="C3" s="15"/>
      <c r="D3" s="15"/>
      <c r="E3" s="15"/>
      <c r="F3" s="15"/>
      <c r="G3" s="15"/>
      <c r="H3" s="104">
        <v>5</v>
      </c>
    </row>
    <row r="4" spans="1:18" ht="15.75" customHeight="1">
      <c r="A4" s="14"/>
      <c r="B4" s="15" t="str">
        <f>IF(H3=5,INDEX(Language!B4:F35,1,1),IF(H3=4,INDEX(Language!B4:F35,1,2),IF(H3=3,INDEX(Language!B4:F35,1,3),IF(H3=2,INDEX(Language!B4:F35,1,4),INDEX(Language!B4:F35,1,5)))))</f>
        <v>Module:</v>
      </c>
      <c r="C4" s="15"/>
      <c r="D4" s="6">
        <v>5</v>
      </c>
      <c r="E4" s="15"/>
      <c r="F4" s="15"/>
      <c r="G4" s="15"/>
      <c r="H4" s="16"/>
    </row>
    <row r="5" spans="1:18" ht="15" customHeight="1">
      <c r="A5" s="14"/>
      <c r="B5" s="15"/>
      <c r="C5" s="15"/>
      <c r="D5" s="15"/>
      <c r="E5" s="15"/>
      <c r="F5" s="15"/>
      <c r="G5" s="15"/>
      <c r="H5" s="16"/>
    </row>
    <row r="6" spans="1:18">
      <c r="A6" s="14"/>
      <c r="B6" s="15" t="str">
        <f>IF(H3=5,INDEX(Language!B4:F35,2,1),IF(H3=4,INDEX(Language!B4:F35,2,2),IF(H3=3,INDEX(Language!B4:F35,2,3),IF(H3=2,INDEX(Language!B4:F35,2,4),INDEX(Language!B4:F35,2,5)))))</f>
        <v>In series:</v>
      </c>
      <c r="C6" s="15"/>
      <c r="D6" s="5">
        <v>6</v>
      </c>
      <c r="E6" s="15"/>
      <c r="F6" s="17" t="str">
        <f>IF(H3=5,INDEX(Language!B4:F35,3,1),IF(H3=4,INDEX(Language!B4:F35,3,2),IF(H3=3,INDEX(Language!B4:F35,3,3),IF(H3=2,INDEX(Language!B4:F35,3,4),INDEX(Language!B4:F35,3,5)))))</f>
        <v>Parallel:</v>
      </c>
      <c r="G6" s="5">
        <v>6</v>
      </c>
      <c r="H6" s="16"/>
    </row>
    <row r="7" spans="1:18" ht="15" customHeight="1">
      <c r="A7" s="14"/>
      <c r="B7" s="15"/>
      <c r="C7" s="15"/>
      <c r="D7" s="15"/>
      <c r="E7" s="15"/>
      <c r="F7" s="15"/>
      <c r="G7" s="15"/>
      <c r="H7" s="16"/>
    </row>
    <row r="8" spans="1:18">
      <c r="A8" s="14"/>
      <c r="B8" s="15" t="str">
        <f>IF(H3=5,INDEX(Language!B4:F35,4,1),IF(H3=4,INDEX(Language!B4:F35,4,2),IF(H3=3,INDEX(Language!B4:F35,4,3),IF(H3=2,INDEX(Language!B4:F35,4,4),INDEX(Language!B4:F35,4,5)))))</f>
        <v>Total PV power:</v>
      </c>
      <c r="C8" s="15"/>
      <c r="D8" s="86">
        <f>D6*G6*INDEX(Modules!B2:J17,Form!D4,3)</f>
        <v>4680</v>
      </c>
      <c r="E8" s="15" t="str">
        <f>IF(H3=5,INDEX(Language!B4:F35,5,1),IF(H3=4,INDEX(Language!B4:F35,5,2),IF(H3=3,INDEX(Language!B4:F35,5,3),IF(H3=2,INDEX(Language!B4:F35,5,4),INDEX(Language!B4:F35,5,5)))))</f>
        <v>Wp</v>
      </c>
      <c r="F8" s="15"/>
      <c r="G8" s="15"/>
      <c r="H8" s="16"/>
    </row>
    <row r="9" spans="1:18" ht="15" customHeight="1">
      <c r="A9" s="14"/>
      <c r="B9" s="15"/>
      <c r="C9" s="15"/>
      <c r="D9" s="15"/>
      <c r="E9" s="63">
        <v>25</v>
      </c>
      <c r="F9" s="15"/>
      <c r="G9" s="60">
        <v>0</v>
      </c>
      <c r="H9" s="16"/>
    </row>
    <row r="10" spans="1:18">
      <c r="A10" s="14"/>
      <c r="B10" s="15" t="str">
        <f>IF(H3=5,INDEX(Language!B4:F35,6,1),IF(H3=4,INDEX(Language!B4:F35,6,2),IF(H3=3,INDEX(Language!B4:F35,6,3),IF(H3=2,INDEX(Language!B4:F35,6,4),INDEX(Language!B4:F35,6,5)))))</f>
        <v>Module temperature:</v>
      </c>
      <c r="C10" s="15"/>
      <c r="D10" s="17" t="str">
        <f>IF(H3=5,INDEX(Language!B4:F35,7,1),IF(H3=4,INDEX(Language!B4:F35,7,2),IF(H3=3,INDEX(Language!B4:F35,7,3),IF(H3=2,INDEX(Language!B4:F35,7,4),INDEX(Language!B4:F35,7,5)))))</f>
        <v>Min.</v>
      </c>
      <c r="E10" s="65">
        <f>E9-25</f>
        <v>0</v>
      </c>
      <c r="F10" s="17" t="str">
        <f>IF(H3=5,INDEX(Language!B4:F35,8,1),IF(H3=4,INDEX(Language!B4:F35,8,2),IF(H3=3,INDEX(Language!B4:F35,8,3),IF(H3=2,INDEX(Language!B4:F35,8,4),INDEX(Language!B4:F35,8,5)))))</f>
        <v xml:space="preserve">Max. </v>
      </c>
      <c r="G10" s="66">
        <v>70</v>
      </c>
      <c r="H10" s="16"/>
      <c r="K10" s="57">
        <v>2.5</v>
      </c>
    </row>
    <row r="11" spans="1:18">
      <c r="A11" s="14"/>
      <c r="B11" s="15"/>
      <c r="C11" s="15"/>
      <c r="D11" s="15"/>
      <c r="E11" s="15"/>
      <c r="F11" s="15"/>
      <c r="G11" s="15"/>
      <c r="H11" s="16"/>
      <c r="J11" s="62">
        <f>INDEX(Regulator!K2:N9,Form!$D$12,1)</f>
        <v>12</v>
      </c>
      <c r="K11" s="57">
        <v>4</v>
      </c>
    </row>
    <row r="12" spans="1:18">
      <c r="A12" s="14"/>
      <c r="B12" s="15" t="str">
        <f>IF(H3=5,INDEX(Language!B4:F35,9,1),IF(H3=4,INDEX(Language!B4:F35,9,2),IF(H3=3,INDEX(Language!B4:F35,9,3),IF(H3=2,INDEX(Language!B4:F35,9,4),INDEX(Language!B4:F35,9,5)))))</f>
        <v>Controller:</v>
      </c>
      <c r="C12" s="15"/>
      <c r="D12" s="6">
        <v>8</v>
      </c>
      <c r="E12" s="15"/>
      <c r="F12" s="15"/>
      <c r="G12" s="15"/>
      <c r="H12" s="16"/>
      <c r="J12" s="62">
        <f>INDEX(Regulator!K2:N9,Form!$D$12,2)</f>
        <v>24</v>
      </c>
      <c r="K12" s="57">
        <v>6</v>
      </c>
    </row>
    <row r="13" spans="1:18">
      <c r="A13" s="14"/>
      <c r="B13" s="15"/>
      <c r="C13" s="15"/>
      <c r="D13" s="15"/>
      <c r="E13" s="15"/>
      <c r="F13" s="15"/>
      <c r="G13" s="15"/>
      <c r="H13" s="16"/>
      <c r="J13" s="62">
        <f>INDEX(Regulator!K2:N9,Form!$D$12,3)</f>
        <v>36</v>
      </c>
      <c r="K13" s="57">
        <v>10</v>
      </c>
    </row>
    <row r="14" spans="1:18">
      <c r="A14" s="14"/>
      <c r="B14" s="15" t="str">
        <f>IF(H3=5,INDEX(Language!B4:F35,10,1),IF(H3=4,INDEX(Language!B4:F35,10,2),IF(H3=3,INDEX(Language!B4:F35,10,3),IF(H3=2,INDEX(Language!B4:F35,10,4),INDEX(Language!B4:F35,10,5)))))</f>
        <v>System voltage:</v>
      </c>
      <c r="C14" s="15"/>
      <c r="D14" s="15"/>
      <c r="E14" s="25">
        <v>4</v>
      </c>
      <c r="F14" s="15" t="s">
        <v>23</v>
      </c>
      <c r="G14" s="15"/>
      <c r="H14" s="16"/>
      <c r="J14" s="62">
        <f>INDEX(Regulator!K2:N9,Form!$D$12,4)</f>
        <v>48</v>
      </c>
      <c r="K14" s="57">
        <v>25</v>
      </c>
    </row>
    <row r="15" spans="1:18">
      <c r="A15" s="14"/>
      <c r="B15" s="15"/>
      <c r="C15" s="15"/>
      <c r="D15" s="15"/>
      <c r="E15" s="25"/>
      <c r="F15" s="15"/>
      <c r="G15" s="15"/>
      <c r="H15" s="16"/>
      <c r="J15" s="62"/>
    </row>
    <row r="16" spans="1:18">
      <c r="A16" s="14"/>
      <c r="B16" s="92" t="str">
        <f>IF(H3=5,INDEX(Language!B4:F35,31,1),IF(H3=4,INDEX(Language!B4:F35,31,2),IF(H3=3,INDEX(Language!B4:F35,31,3),IF(H3=2,INDEX(Language!B4:F35,31,4),INDEX(Language!B4:F35,31,5)))))</f>
        <v>Cable length, Module to MPPT *</v>
      </c>
      <c r="C16" s="92"/>
      <c r="D16" s="15"/>
      <c r="E16" s="101">
        <v>5</v>
      </c>
      <c r="F16" s="17" t="str">
        <f>IF(H3=5,INDEX(Language!B4:F35,32,1),IF(H3=4,INDEX(Language!B4:F35,32,2),IF(H3=3,INDEX(Language!B4:F35,32,3),IF(H3=2,INDEX(Language!B4:F35,32,4),INDEX(Language!B4:F35,32,5)))))</f>
        <v>Cross-section:</v>
      </c>
      <c r="G16" s="103">
        <f>INDEX(K10:K14,H16,1)</f>
        <v>6</v>
      </c>
      <c r="H16" s="102">
        <v>3</v>
      </c>
      <c r="J16" s="62"/>
    </row>
    <row r="17" spans="1:10">
      <c r="A17" s="14"/>
      <c r="B17" s="15" t="str">
        <f>IF(H3=5,INDEX(Language!B4:F36,33,1),IF(H3=4,INDEX(Language!B4:F36,33,2),IF(H3=3,INDEX(Language!B4:F36,33,3),IF(H3=2,INDEX(Language!B4:F36,33,4),INDEX(Language!B4:F36,33,5)))))</f>
        <v>* One way length</v>
      </c>
      <c r="C17" s="15"/>
      <c r="D17" s="15"/>
      <c r="E17" s="15"/>
      <c r="F17" s="15"/>
      <c r="G17" s="15"/>
      <c r="H17" s="16"/>
    </row>
    <row r="18" spans="1:10">
      <c r="A18" s="18"/>
      <c r="B18" s="19" t="str">
        <f>IF(H3=5,INDEX(Language!B4:F35,11,1),IF(H3=4,INDEX(Language!B4:F35,11,2),IF(H3=3,INDEX(Language!B4:F35,11,3),IF(H3=2,INDEX(Language!B4:F35,11,4),INDEX(Language!B4:F35,11,5)))))</f>
        <v>Max. input voltage</v>
      </c>
      <c r="C18" s="19"/>
      <c r="D18" s="19"/>
      <c r="E18" s="19"/>
      <c r="F18" s="48">
        <f>INDEX(Regulator!$B$2:$H$9,Form!$D$12,7)</f>
        <v>150</v>
      </c>
      <c r="G18" s="19"/>
      <c r="H18" s="20"/>
    </row>
    <row r="19" spans="1:10">
      <c r="A19" s="14"/>
      <c r="B19" s="15" t="str">
        <f>IF(H3=5,INDEX(Language!B4:F35,12,1),IF(H3=4,INDEX(Language!B4:F35,12,2),IF(H3=3,INDEX(Language!B4:F35,12,3),IF(H3=2,INDEX(Language!B4:F35,12,4),INDEX(Language!B4:F35,12,5)))))</f>
        <v>Max. PV voltage @ min. temperature</v>
      </c>
      <c r="C19" s="15"/>
      <c r="D19" s="15"/>
      <c r="E19" s="15"/>
      <c r="F19" s="49">
        <f>'Calculation table'!E28</f>
        <v>140.61600000000001</v>
      </c>
      <c r="G19" s="15"/>
      <c r="H19" s="21"/>
    </row>
    <row r="20" spans="1:10">
      <c r="A20" s="14"/>
      <c r="B20" s="15" t="str">
        <f>IF(H3=5,INDEX(Language!B4:F35,13,1),IF(H3=4,INDEX(Language!B4:F35,13,2),IF(H3=3,INDEX(Language!B4:F35,13,3),IF(H3=2,INDEX(Language!B4:F35,13,4),INDEX(Language!B4:F35,13,5)))))</f>
        <v>Min. input voltage @ MPP</v>
      </c>
      <c r="C20" s="15"/>
      <c r="D20" s="15"/>
      <c r="E20" s="15"/>
      <c r="F20" s="49">
        <f>'Calculation table'!B19</f>
        <v>49</v>
      </c>
      <c r="G20" s="15"/>
      <c r="H20" s="21"/>
    </row>
    <row r="21" spans="1:10">
      <c r="A21" s="22"/>
      <c r="B21" s="23" t="str">
        <f>IF(H3=5,INDEX(Language!B4:F35,14,1),IF(H3=4,INDEX(Language!B4:F35,14,2),IF(H3=3,INDEX(Language!B4:F35,14,3),IF(H3=2,INDEX(Language!B4:F35,14,4),INDEX(Language!B4:F35,14,5)))))</f>
        <v>Min. PV voltage @ max. temperature</v>
      </c>
      <c r="C21" s="23"/>
      <c r="D21" s="23"/>
      <c r="E21" s="23"/>
      <c r="F21" s="56">
        <f>'Calculation table'!J35</f>
        <v>85.809366868943243</v>
      </c>
      <c r="G21" s="23"/>
      <c r="H21" s="24"/>
    </row>
    <row r="22" spans="1:10">
      <c r="A22" s="14"/>
      <c r="B22" s="15" t="str">
        <f>IF(H3=5,INDEX(Language!B4:F35,15,1),IF(H3=4,INDEX(Language!B4:F35,15,2),IF(H3=3,INDEX(Language!B4:F35,15,3),IF(H3=2,INDEX(Language!B4:F35,15,4),INDEX(Language!B4:F35,15,5)))))</f>
        <v>Max. output current</v>
      </c>
      <c r="C22" s="15"/>
      <c r="D22" s="15"/>
      <c r="E22" s="15"/>
      <c r="F22" s="50">
        <f>INDEX(Regulator!B2:O9,Form!$D$12,14)</f>
        <v>85</v>
      </c>
      <c r="G22" s="15"/>
      <c r="H22" s="16"/>
    </row>
    <row r="23" spans="1:10">
      <c r="A23" s="14"/>
      <c r="B23" s="15" t="str">
        <f>IF(H3=5,INDEX(Language!B4:F35,16,1),IF(H3=4,INDEX(Language!B4:F35,16,2),IF(H3=3,INDEX(Language!B4:F35,16,3),IF(H3=2,INDEX(Language!B4:F35,16,4),INDEX(Language!B4:F35,16,5)))))</f>
        <v>Max. current @ MPP min. temp.</v>
      </c>
      <c r="C23" s="15"/>
      <c r="D23" s="15"/>
      <c r="E23" s="15"/>
      <c r="F23" s="51">
        <f>IF('Calculation table'!D18=0,"N.A.",'Calculation table'!E38)</f>
        <v>85</v>
      </c>
      <c r="G23" s="15"/>
      <c r="H23" s="16"/>
    </row>
    <row r="24" spans="1:10">
      <c r="A24" s="14"/>
      <c r="B24" s="15"/>
      <c r="C24" s="15"/>
      <c r="D24" s="15"/>
      <c r="E24" s="15"/>
      <c r="F24" s="15" t="str">
        <f>IF(F23="N.A.","",IF('Calculation table'!E38=F22,IF(H3=5,INDEX(Language!B4:F35,27,1),IF(H3=4,INDEX(Language!B4:F35,27,2),IF(H3=3,INDEX(Language!B4:F35,27,3),IF(H3=2,INDEX(Language!B4:F35,27,4),INDEX(Language!B4:F35,27,5))))),""))</f>
        <v>* Power limiting @ low temp.</v>
      </c>
      <c r="G24" s="15"/>
      <c r="H24" s="16"/>
    </row>
    <row r="25" spans="1:10">
      <c r="A25" s="14"/>
      <c r="B25" s="15" t="str">
        <f>IF(H3=5,INDEX(Language!B4:F35,17,1),IF(H3=4,INDEX(Language!B4:F35,17,2),IF(H3=3,INDEX(Language!B4:F35,17,3),IF(H3=2,INDEX(Language!B4:F35,17,4),INDEX(Language!B4:F35,17,5)))))</f>
        <v>Max. current @ MPP max. temp.</v>
      </c>
      <c r="C25" s="15"/>
      <c r="D25" s="15"/>
      <c r="E25" s="15"/>
      <c r="F25" s="51">
        <f>IF('Calculation table'!D18=0,"N.A.",'Calculation table'!F45)</f>
        <v>79.612352732250002</v>
      </c>
      <c r="G25" s="15"/>
      <c r="H25" s="16"/>
    </row>
    <row r="26" spans="1:10" ht="15.75" thickBot="1">
      <c r="A26" s="14"/>
      <c r="B26" s="15"/>
      <c r="C26" s="15"/>
      <c r="D26" s="15"/>
      <c r="E26" s="15"/>
      <c r="F26" s="15" t="str">
        <f>IF(F25="N.A.","",IF('Calculation table'!F45=F22,IF(H3=5,INDEX(Language!B4:F35,28,1),IF(H3=4,INDEX(Language!B4:F35,28,2),IF(H3=3,INDEX(Language!B4:F35,28,3),IF(H3=2,INDEX(Language!B4:F35,28,4),INDEX(Language!B4:F35,28,5))))),""))</f>
        <v/>
      </c>
      <c r="G26" s="15"/>
      <c r="H26" s="16"/>
    </row>
    <row r="27" spans="1:10" ht="15.75" thickBot="1">
      <c r="A27" s="105"/>
      <c r="B27" s="55" t="str">
        <f>IF(H3=5,INDEX(Language!B4:F35,18,1),IF(H3=4,INDEX(Language!B4:F35,18,2),IF(H3=3,INDEX(Language!B4:F35,18,3),IF(H3=2,INDEX(Language!B4:F35,18,4),INDEX(Language!B4:F35,18,5)))))</f>
        <v>Solar module configuration</v>
      </c>
      <c r="C27" s="55"/>
      <c r="D27" s="26"/>
      <c r="E27" s="27"/>
      <c r="F27" s="27" t="str">
        <f>IF(F19&lt;=F18,IF(F23&lt;=F22,IF(F21&gt;F20,"Accepted","NOT Accepted"),"NOT Accepted"),"NOT Accepted")</f>
        <v>Accepted</v>
      </c>
      <c r="G27" s="26"/>
      <c r="H27" s="106"/>
    </row>
    <row r="28" spans="1:10">
      <c r="A28" s="22"/>
      <c r="B28" s="23"/>
      <c r="C28" s="23"/>
      <c r="D28" s="23"/>
      <c r="E28" s="23"/>
      <c r="F28" s="23"/>
      <c r="G28" s="23"/>
      <c r="H28" s="24"/>
    </row>
    <row r="29" spans="1:10" s="57" customFormat="1">
      <c r="H29" s="85" t="s">
        <v>235</v>
      </c>
    </row>
    <row r="30" spans="1:10" s="57" customFormat="1">
      <c r="H30" s="85"/>
    </row>
    <row r="31" spans="1:10" s="57" customFormat="1">
      <c r="A31" s="107" t="str">
        <f>IF(H3=5,INDEX(Language!B4:F37,34,1),IF(H3=4,INDEX(Language!B4:F37,34,2),IF(H3=3,INDEX(Language!B4:F37,34,3),IF(H3=2,INDEX(Language!B4:F37,34,4),INDEX(Language!B4:F37,34,5)))))</f>
        <v>Are the solar modules covered with snow many periods a year?</v>
      </c>
      <c r="B31" s="108"/>
      <c r="C31" s="108"/>
      <c r="D31" s="108"/>
      <c r="E31" s="108"/>
      <c r="F31" s="108"/>
      <c r="G31" s="109"/>
      <c r="H31" s="111" t="str">
        <f>IF(J31=TRUE,IF(H3=5,INDEX(Language!B4:F38,35,1),IF(H3=4,INDEX(Language!B4:F38,35,2),IF(H3=3,INDEX(Language!B4:F38,35,3),IF(H3=2,INDEX(Language!B4:F38,35,4),INDEX(Language!B4:F38,35,5))))),IF(H3=5,INDEX(Language!B4:F39,36,1),IF(H3=4,INDEX(Language!B4:F39,36,2),IF(H3=3,INDEX(Language!B4:F39,36,3),IF(H3=2,INDEX(Language!B4:F39,36,4),INDEX(Language!B4:F39,36,5))))))</f>
        <v>No</v>
      </c>
      <c r="J31" s="110" t="b">
        <v>0</v>
      </c>
    </row>
    <row r="32" spans="1:10" s="57" customFormat="1">
      <c r="H32" s="58"/>
    </row>
    <row r="33" spans="1:8" s="57" customFormat="1">
      <c r="A33" s="81" t="str">
        <f>IF(H3=5,INDEX(Language!B4:F35,19,1),IF(H3=4,INDEX(Language!B4:F35,19,2),IF(H3=3,INDEX(Language!B4:F35,19,3),IF(H3=2,INDEX(Language!B4:F35,19,4),INDEX(Language!B4:F35,19,5)))))</f>
        <v>Example locations with expected temperatures:</v>
      </c>
      <c r="B33" s="82"/>
      <c r="C33" s="82"/>
      <c r="D33" s="82"/>
      <c r="E33" s="82"/>
      <c r="F33" s="82"/>
      <c r="G33" s="67" t="str">
        <f>IF(H3=5,INDEX(Language!B4:F35,7,1),IF(H3=4,INDEX(Language!B4:F35,7,2),IF(H3=3,INDEX(Language!B4:F35,7,3),IF(H3=2,INDEX(Language!B4:F35,7,4),INDEX(Language!B4:F35,7,5)))))</f>
        <v>Min.</v>
      </c>
      <c r="H33" s="67" t="str">
        <f>IF(H3=5,INDEX(Language!B4:F35,8,1),IF(H3=4,INDEX(Language!B4:F35,8,2),IF(H3=3,INDEX(Language!B4:F35,8,3),IF(H3=2,INDEX(Language!B4:F35,8,4),INDEX(Language!B4:F35,8,5)))))</f>
        <v xml:space="preserve">Max. </v>
      </c>
    </row>
    <row r="34" spans="1:8" s="57" customFormat="1">
      <c r="A34" s="83" t="str">
        <f>IF(H3=5,INDEX(Language!B4:F35,20,1),IF(H3=4,INDEX(Language!B4:F35,20,2),IF(H3=3,INDEX(Language!B4:F35,20,3),IF(H3=2,INDEX(Language!B4:F35,20,4),INDEX(Language!B4:F35,20,5)))))</f>
        <v>Flat on mobile home, all year (poor ventilation)</v>
      </c>
      <c r="B34" s="84"/>
      <c r="C34" s="84"/>
      <c r="D34" s="84"/>
      <c r="E34" s="84"/>
      <c r="F34" s="84"/>
      <c r="G34" s="64">
        <f>IF(J31=TRUE,-10,0)</f>
        <v>0</v>
      </c>
      <c r="H34" s="64">
        <v>70</v>
      </c>
    </row>
    <row r="35" spans="1:8" s="57" customFormat="1">
      <c r="A35" s="83" t="str">
        <f>IF(H3=5,INDEX(Language!B4:F35,21,1),IF(H3=4,INDEX(Language!B4:F35,21,2),IF(H3=3,INDEX(Language!B4:F35,21,3),IF(H3=2,INDEX(Language!B4:F35,21,4),INDEX(Language!B4:F35,21,5)))))</f>
        <v>Flat on mobile home, only summer (poor ventilation)</v>
      </c>
      <c r="B35" s="84"/>
      <c r="C35" s="84"/>
      <c r="D35" s="84"/>
      <c r="E35" s="84"/>
      <c r="F35" s="84"/>
      <c r="G35" s="64">
        <f>IF(J31=TRUE,5,15)</f>
        <v>15</v>
      </c>
      <c r="H35" s="64">
        <v>70</v>
      </c>
    </row>
    <row r="36" spans="1:8" s="57" customFormat="1">
      <c r="A36" s="83" t="str">
        <f>IF(H3=5,INDEX(Language!B4:F35,22,1),IF(H3=4,INDEX(Language!B4:F35,22,2),IF(H3=3,INDEX(Language!B4:F35,22,3),IF(H3=2,INDEX(Language!B4:F35,22,4),INDEX(Language!B4:F35,22,5)))))</f>
        <v>Flat on boat (poor ventilation)</v>
      </c>
      <c r="B36" s="84"/>
      <c r="C36" s="84"/>
      <c r="D36" s="84"/>
      <c r="E36" s="84"/>
      <c r="F36" s="84"/>
      <c r="G36" s="64">
        <f>IF(J31=TRUE,0,10)</f>
        <v>10</v>
      </c>
      <c r="H36" s="64">
        <v>65</v>
      </c>
    </row>
    <row r="37" spans="1:8" s="57" customFormat="1">
      <c r="A37" s="83" t="str">
        <f>IF(H3=5,INDEX(Language!B4:F35,23,1),IF(H3=4,INDEX(Language!B4:F35,23,2),IF(H3=3,INDEX(Language!B4:F35,23,3),IF(H3=2,INDEX(Language!B4:F35,23,4),INDEX(Language!B4:F35,23,5)))))</f>
        <v>Pitched on boat (good ventilation)</v>
      </c>
      <c r="B37" s="84"/>
      <c r="C37" s="84"/>
      <c r="D37" s="84"/>
      <c r="E37" s="84"/>
      <c r="F37" s="84"/>
      <c r="G37" s="64">
        <f>IF(J31=TRUE,-5,5)</f>
        <v>5</v>
      </c>
      <c r="H37" s="64">
        <v>60</v>
      </c>
    </row>
    <row r="38" spans="1:8" s="57" customFormat="1">
      <c r="A38" s="83" t="str">
        <f>IF(H3=5,INDEX(Language!B4:F35,24,1),IF(H3=4,INDEX(Language!B4:F35,24,2),IF(H3=3,INDEX(Language!B4:F35,24,3),IF(H3=2,INDEX(Language!B4:F35,24,4),INDEX(Language!B4:F35,24,5)))))</f>
        <v>Pitched roof in warm region (good ventilation)</v>
      </c>
      <c r="B38" s="84"/>
      <c r="C38" s="84"/>
      <c r="D38" s="84"/>
      <c r="E38" s="84"/>
      <c r="F38" s="84"/>
      <c r="G38" s="64">
        <f>IF(J31=TRUE,-5,5)</f>
        <v>5</v>
      </c>
      <c r="H38" s="64">
        <v>70</v>
      </c>
    </row>
    <row r="39" spans="1:8" s="57" customFormat="1">
      <c r="A39" s="83" t="str">
        <f>IF(H3=5,INDEX(Language!B4:F35,25,1),IF(H3=4,INDEX(Language!B4:F35,25,2),IF(H3=3,INDEX(Language!B4:F35,25,3),IF(H3=2,INDEX(Language!B4:F35,25,4),INDEX(Language!B4:F35,25,5)))))</f>
        <v>Pitched roof in average region (good ventilation)</v>
      </c>
      <c r="B39" s="84"/>
      <c r="C39" s="84"/>
      <c r="D39" s="84"/>
      <c r="E39" s="84"/>
      <c r="F39" s="84"/>
      <c r="G39" s="64">
        <f>IF(J31=TRUE,-10,0)</f>
        <v>0</v>
      </c>
      <c r="H39" s="64">
        <v>65</v>
      </c>
    </row>
    <row r="40" spans="1:8" s="57" customFormat="1">
      <c r="A40" s="83" t="str">
        <f>IF(H3=5,INDEX(Language!B4:F35,26,1),IF(H3=4,INDEX(Language!B4:F35,26,2),IF(H3=3,INDEX(Language!B4:F35,26,3),IF(H3=2,INDEX(Language!B4:F35,26,4),INDEX(Language!B4:F35,26,5)))))</f>
        <v>Pitched roof on mountain (good ventilation)</v>
      </c>
      <c r="B40" s="84"/>
      <c r="C40" s="84"/>
      <c r="D40" s="84"/>
      <c r="E40" s="84"/>
      <c r="F40" s="84"/>
      <c r="G40" s="64">
        <f>IF(J31=TRUE,-10,-5)</f>
        <v>-5</v>
      </c>
      <c r="H40" s="64">
        <v>60</v>
      </c>
    </row>
    <row r="41" spans="1:8" s="57" customFormat="1"/>
    <row r="42" spans="1:8" s="57" customFormat="1"/>
    <row r="43" spans="1:8" s="57" customFormat="1"/>
    <row r="44" spans="1:8" s="57" customFormat="1"/>
    <row r="45" spans="1:8" s="57" customFormat="1"/>
    <row r="46" spans="1:8" s="57" customFormat="1"/>
    <row r="47" spans="1:8" s="57" customFormat="1"/>
    <row r="48" spans="1:8" s="57" customFormat="1"/>
    <row r="49" s="57" customFormat="1"/>
    <row r="50" s="57" customFormat="1"/>
    <row r="51" s="57" customFormat="1"/>
    <row r="52" s="57" customFormat="1"/>
    <row r="53" s="57" customFormat="1"/>
    <row r="54" s="57" customFormat="1"/>
    <row r="55" s="57" customFormat="1"/>
    <row r="56" s="57" customFormat="1"/>
    <row r="57" s="57" customFormat="1"/>
    <row r="58" s="57" customFormat="1"/>
    <row r="59" s="57" customFormat="1"/>
    <row r="60" s="57" customFormat="1"/>
    <row r="61" s="57" customFormat="1"/>
    <row r="62" s="57" customFormat="1"/>
    <row r="63" s="57" customFormat="1"/>
    <row r="64" s="57" customFormat="1"/>
    <row r="65" s="57" customFormat="1"/>
    <row r="66" s="57" customFormat="1"/>
    <row r="67" s="57" customFormat="1"/>
    <row r="68" s="57" customFormat="1"/>
    <row r="69" s="57" customFormat="1"/>
    <row r="70" s="57" customFormat="1"/>
    <row r="71" s="57" customFormat="1"/>
    <row r="72" s="57" customFormat="1"/>
    <row r="73" s="57" customFormat="1"/>
    <row r="74" s="57" customFormat="1"/>
    <row r="75" s="57" customFormat="1"/>
    <row r="76" s="57" customFormat="1"/>
    <row r="77" s="57" customFormat="1"/>
    <row r="78" s="57" customFormat="1"/>
    <row r="79" s="57" customFormat="1"/>
    <row r="80" s="57" customFormat="1"/>
    <row r="81" s="57" customFormat="1"/>
    <row r="82" s="57" customFormat="1"/>
    <row r="83" s="57" customFormat="1"/>
    <row r="84" s="57" customFormat="1"/>
    <row r="85" s="57" customFormat="1"/>
    <row r="86" s="57" customFormat="1"/>
    <row r="87" s="57" customFormat="1"/>
    <row r="88" s="57" customFormat="1"/>
    <row r="89" s="57" customFormat="1"/>
    <row r="90" s="57" customFormat="1"/>
    <row r="91" s="57" customFormat="1"/>
    <row r="92" s="57" customFormat="1"/>
    <row r="93" s="57" customFormat="1"/>
    <row r="94" s="57" customFormat="1"/>
    <row r="95" s="57" customFormat="1"/>
    <row r="96" s="57" customFormat="1"/>
    <row r="97" s="57" customFormat="1"/>
    <row r="98" s="57" customFormat="1"/>
    <row r="99" s="57" customFormat="1"/>
    <row r="100" s="57" customFormat="1"/>
    <row r="101" s="57" customFormat="1"/>
    <row r="102" s="57" customFormat="1"/>
    <row r="103" s="57" customFormat="1"/>
    <row r="104" s="57" customFormat="1"/>
    <row r="105" s="57" customFormat="1"/>
    <row r="106" s="57" customFormat="1"/>
    <row r="107" s="57" customFormat="1"/>
    <row r="108" s="57" customFormat="1"/>
    <row r="109" s="57" customFormat="1"/>
    <row r="110" s="57" customFormat="1"/>
    <row r="111" s="57" customFormat="1"/>
    <row r="112" s="57" customFormat="1"/>
    <row r="113" s="57" customFormat="1"/>
    <row r="114" s="57" customFormat="1"/>
    <row r="115" s="57" customFormat="1"/>
    <row r="116" s="57" customFormat="1"/>
    <row r="117" s="57" customFormat="1"/>
    <row r="118" s="57" customFormat="1"/>
    <row r="119" s="57" customFormat="1"/>
    <row r="120" s="57" customFormat="1"/>
    <row r="121" s="57" customFormat="1"/>
    <row r="122" s="57" customFormat="1"/>
    <row r="123" s="57" customFormat="1"/>
    <row r="124" s="57" customFormat="1"/>
    <row r="125" s="57" customFormat="1"/>
    <row r="126" s="57" customFormat="1"/>
    <row r="127" s="57" customFormat="1"/>
    <row r="128" s="57" customFormat="1"/>
    <row r="129" s="57" customFormat="1"/>
    <row r="130" s="57" customFormat="1"/>
    <row r="131" s="57" customFormat="1"/>
    <row r="132" s="57" customFormat="1"/>
    <row r="133" s="57" customFormat="1"/>
    <row r="134" s="57" customFormat="1"/>
    <row r="135" s="57" customFormat="1"/>
    <row r="136" s="57" customFormat="1"/>
    <row r="137" s="57" customFormat="1"/>
    <row r="138" s="57" customFormat="1"/>
    <row r="139" s="57" customFormat="1"/>
    <row r="140" s="57" customFormat="1"/>
    <row r="141" s="57" customFormat="1"/>
    <row r="142" s="57" customFormat="1"/>
    <row r="143" s="57" customFormat="1"/>
    <row r="144" s="57" customFormat="1"/>
    <row r="145" s="57" customFormat="1"/>
    <row r="146" s="57" customFormat="1"/>
    <row r="147" s="57" customFormat="1"/>
    <row r="148" s="57" customFormat="1"/>
    <row r="149" s="57" customFormat="1"/>
    <row r="150" s="57" customFormat="1"/>
    <row r="151" s="57" customFormat="1"/>
    <row r="152" s="57" customFormat="1"/>
    <row r="153" s="57" customFormat="1"/>
    <row r="154" s="57" customFormat="1"/>
    <row r="155" s="57" customFormat="1"/>
    <row r="156" s="57" customFormat="1"/>
    <row r="157" s="57" customFormat="1"/>
    <row r="158" s="57" customFormat="1"/>
    <row r="159" s="57" customFormat="1"/>
    <row r="160" s="57" customFormat="1"/>
    <row r="161" s="57" customFormat="1"/>
    <row r="162" s="57" customFormat="1"/>
    <row r="163" s="57" customFormat="1"/>
    <row r="164" s="57" customFormat="1"/>
    <row r="165" s="57" customFormat="1"/>
    <row r="166" s="57" customFormat="1"/>
    <row r="167" s="57" customFormat="1"/>
    <row r="168" s="57" customFormat="1"/>
    <row r="169" s="57" customFormat="1"/>
    <row r="170" s="57" customFormat="1"/>
    <row r="171" s="57" customFormat="1"/>
    <row r="172" s="57" customFormat="1"/>
    <row r="173" s="57" customFormat="1"/>
    <row r="174" s="57" customFormat="1"/>
    <row r="175" s="57" customFormat="1"/>
    <row r="176" s="57" customFormat="1"/>
    <row r="177" s="57" customFormat="1"/>
    <row r="178" s="57" customFormat="1"/>
    <row r="179" s="57" customFormat="1"/>
    <row r="180" s="57" customFormat="1"/>
    <row r="181" s="57" customFormat="1"/>
    <row r="182" s="57" customFormat="1"/>
    <row r="183" s="57" customFormat="1"/>
    <row r="184" s="57" customFormat="1"/>
    <row r="185" s="57" customFormat="1"/>
    <row r="186" s="57" customFormat="1"/>
    <row r="187" s="57" customFormat="1"/>
    <row r="188" s="57" customFormat="1"/>
    <row r="189" s="57" customFormat="1"/>
    <row r="190" s="57" customFormat="1"/>
    <row r="191" s="57" customFormat="1"/>
    <row r="192" s="57" customFormat="1"/>
    <row r="193" s="57" customFormat="1"/>
    <row r="194" s="57" customFormat="1"/>
    <row r="195" s="57" customFormat="1"/>
    <row r="196" s="57" customFormat="1"/>
    <row r="197" s="57" customFormat="1"/>
    <row r="198" s="57" customFormat="1"/>
    <row r="199" s="57" customFormat="1"/>
    <row r="200" s="57" customFormat="1"/>
    <row r="201" s="57" customFormat="1"/>
    <row r="202" s="57" customFormat="1"/>
    <row r="203" s="57" customFormat="1"/>
    <row r="204" s="57" customFormat="1"/>
    <row r="205" s="57" customFormat="1"/>
    <row r="206" s="57" customFormat="1"/>
    <row r="207" s="57" customFormat="1"/>
    <row r="208" s="57" customFormat="1"/>
    <row r="209" s="57" customFormat="1"/>
    <row r="210" s="57" customFormat="1"/>
    <row r="211" s="57" customFormat="1"/>
    <row r="212" s="57" customFormat="1"/>
    <row r="213" s="57" customFormat="1"/>
    <row r="214" s="57" customFormat="1"/>
    <row r="215" s="57" customFormat="1"/>
    <row r="216" s="57" customFormat="1"/>
    <row r="217" s="57" customFormat="1"/>
    <row r="218" s="57" customFormat="1"/>
    <row r="219" s="57" customFormat="1"/>
    <row r="220" s="57" customFormat="1"/>
    <row r="221" s="57" customFormat="1"/>
    <row r="222" s="57" customFormat="1"/>
    <row r="223" s="57" customFormat="1"/>
    <row r="224" s="57" customFormat="1"/>
    <row r="225" s="57" customFormat="1"/>
    <row r="226" s="57" customFormat="1"/>
    <row r="227" s="57" customFormat="1"/>
    <row r="228" s="57" customFormat="1"/>
    <row r="229" s="57" customFormat="1"/>
  </sheetData>
  <sheetProtection sheet="1" objects="1" scenarios="1" selectLockedCells="1" selectUnlockedCells="1"/>
  <mergeCells count="1">
    <mergeCell ref="D1:F2"/>
  </mergeCells>
  <conditionalFormatting sqref="F19">
    <cfRule type="cellIs" dxfId="9" priority="9" operator="greaterThan">
      <formula>$F$18</formula>
    </cfRule>
    <cfRule type="cellIs" dxfId="8" priority="12" operator="lessThanOrEqual">
      <formula>$F$18</formula>
    </cfRule>
  </conditionalFormatting>
  <conditionalFormatting sqref="F23 F25">
    <cfRule type="cellIs" dxfId="7" priority="5" operator="greaterThanOrEqual">
      <formula>$F$22</formula>
    </cfRule>
    <cfRule type="cellIs" dxfId="6" priority="10" operator="lessThan">
      <formula>$F$22</formula>
    </cfRule>
  </conditionalFormatting>
  <conditionalFormatting sqref="F21">
    <cfRule type="cellIs" dxfId="5" priority="6" operator="lessThan">
      <formula>$F$20</formula>
    </cfRule>
    <cfRule type="cellIs" dxfId="4" priority="7" operator="greaterThanOrEqual">
      <formula>$F$20</formula>
    </cfRule>
  </conditionalFormatting>
  <conditionalFormatting sqref="F27">
    <cfRule type="containsText" dxfId="3" priority="3" operator="containsText" text="NOT accepted">
      <formula>NOT(ISERROR(SEARCH("NOT accepted",F27)))</formula>
    </cfRule>
    <cfRule type="containsText" dxfId="2" priority="4" operator="containsText" text="Accepted">
      <formula>NOT(ISERROR(SEARCH("Accepted",F27)))</formula>
    </cfRule>
  </conditionalFormatting>
  <hyperlinks>
    <hyperlink ref="D1:F2" r:id="rId1" display="Blue Solar charge controller MPPT"/>
  </hyperlinks>
  <pageMargins left="0.7" right="0.7" top="0.75" bottom="0.75" header="0.3" footer="0.3"/>
  <pageSetup paperSize="9" scale="95" orientation="portrait" r:id="rId2"/>
  <drawing r:id="rId3"/>
  <legacyDrawing r:id="rId4"/>
</worksheet>
</file>

<file path=xl/worksheets/sheet2.xml><?xml version="1.0" encoding="utf-8"?>
<worksheet xmlns="http://schemas.openxmlformats.org/spreadsheetml/2006/main" xmlns:r="http://schemas.openxmlformats.org/officeDocument/2006/relationships">
  <sheetPr codeName="Sheet2"/>
  <dimension ref="A1:J17"/>
  <sheetViews>
    <sheetView workbookViewId="0">
      <selection activeCell="B15" sqref="B15"/>
    </sheetView>
  </sheetViews>
  <sheetFormatPr defaultRowHeight="15"/>
  <cols>
    <col min="1" max="1" width="27.85546875" style="53" customWidth="1"/>
    <col min="2" max="10" width="20" style="54" customWidth="1"/>
    <col min="11" max="11" width="22.140625" style="54" customWidth="1"/>
    <col min="12" max="16384" width="9.140625" style="54"/>
  </cols>
  <sheetData>
    <row r="1" spans="1:10">
      <c r="A1" s="74"/>
      <c r="B1" s="74" t="s">
        <v>0</v>
      </c>
      <c r="C1" s="74" t="s">
        <v>1</v>
      </c>
      <c r="D1" s="74" t="s">
        <v>2</v>
      </c>
      <c r="E1" s="74" t="s">
        <v>273</v>
      </c>
      <c r="F1" s="74" t="s">
        <v>4</v>
      </c>
      <c r="G1" s="74" t="s">
        <v>274</v>
      </c>
      <c r="H1" s="74" t="s">
        <v>3</v>
      </c>
      <c r="I1" s="74" t="s">
        <v>275</v>
      </c>
      <c r="J1" s="74" t="s">
        <v>5</v>
      </c>
    </row>
    <row r="2" spans="1:10">
      <c r="A2" s="80" t="str">
        <f>B2&amp;" "&amp;C2</f>
        <v>Victron Energy SPM30-12</v>
      </c>
      <c r="B2" s="77" t="s">
        <v>6</v>
      </c>
      <c r="C2" s="77" t="s">
        <v>7</v>
      </c>
      <c r="D2" s="77">
        <v>30</v>
      </c>
      <c r="E2" s="77">
        <v>18</v>
      </c>
      <c r="F2" s="77">
        <v>1.67</v>
      </c>
      <c r="G2" s="77">
        <v>22.5</v>
      </c>
      <c r="H2" s="77">
        <v>2</v>
      </c>
      <c r="I2" s="77">
        <v>-0.34</v>
      </c>
      <c r="J2" s="77">
        <v>3.6999999999999998E-2</v>
      </c>
    </row>
    <row r="3" spans="1:10">
      <c r="A3" s="80" t="str">
        <f t="shared" ref="A3:A17" si="0">B3&amp;" "&amp;C3</f>
        <v>Victron Energy SPM50-12</v>
      </c>
      <c r="B3" s="77" t="s">
        <v>6</v>
      </c>
      <c r="C3" s="77" t="s">
        <v>8</v>
      </c>
      <c r="D3" s="77">
        <v>50</v>
      </c>
      <c r="E3" s="77">
        <v>18</v>
      </c>
      <c r="F3" s="77">
        <v>2.78</v>
      </c>
      <c r="G3" s="77">
        <v>22.2</v>
      </c>
      <c r="H3" s="77">
        <v>3.16</v>
      </c>
      <c r="I3" s="77">
        <v>-0.34</v>
      </c>
      <c r="J3" s="77">
        <v>3.6999999999999998E-2</v>
      </c>
    </row>
    <row r="4" spans="1:10">
      <c r="A4" s="80" t="str">
        <f t="shared" si="0"/>
        <v>Victron Energy SPM80-12</v>
      </c>
      <c r="B4" s="77" t="s">
        <v>6</v>
      </c>
      <c r="C4" s="77" t="s">
        <v>9</v>
      </c>
      <c r="D4" s="77">
        <v>80</v>
      </c>
      <c r="E4" s="77">
        <v>18</v>
      </c>
      <c r="F4" s="77">
        <v>4.4400000000000004</v>
      </c>
      <c r="G4" s="77">
        <v>21.6</v>
      </c>
      <c r="H4" s="77">
        <v>4.88</v>
      </c>
      <c r="I4" s="77">
        <v>-0.34</v>
      </c>
      <c r="J4" s="77">
        <v>0.05</v>
      </c>
    </row>
    <row r="5" spans="1:10">
      <c r="A5" s="80" t="str">
        <f t="shared" si="0"/>
        <v>Victron Energy SPM100-12</v>
      </c>
      <c r="B5" s="77" t="s">
        <v>6</v>
      </c>
      <c r="C5" s="77" t="s">
        <v>37</v>
      </c>
      <c r="D5" s="77">
        <v>100</v>
      </c>
      <c r="E5" s="77">
        <v>18</v>
      </c>
      <c r="F5" s="77">
        <v>5.56</v>
      </c>
      <c r="G5" s="77">
        <v>22.4</v>
      </c>
      <c r="H5" s="77">
        <v>6.53</v>
      </c>
      <c r="I5" s="77">
        <v>-0.34</v>
      </c>
      <c r="J5" s="77">
        <v>3.6999999999999998E-2</v>
      </c>
    </row>
    <row r="6" spans="1:10">
      <c r="A6" s="80" t="str">
        <f t="shared" si="0"/>
        <v>Victron Energy SPM130-12</v>
      </c>
      <c r="B6" s="77" t="s">
        <v>6</v>
      </c>
      <c r="C6" s="77" t="s">
        <v>38</v>
      </c>
      <c r="D6" s="77">
        <v>130</v>
      </c>
      <c r="E6" s="77">
        <v>18</v>
      </c>
      <c r="F6" s="77">
        <v>7.23</v>
      </c>
      <c r="G6" s="77">
        <v>21.6</v>
      </c>
      <c r="H6" s="77">
        <v>7.94</v>
      </c>
      <c r="I6" s="77">
        <v>-0.34</v>
      </c>
      <c r="J6" s="77">
        <v>0.05</v>
      </c>
    </row>
    <row r="7" spans="1:10">
      <c r="A7" s="80" t="str">
        <f t="shared" si="0"/>
        <v>Victron Energy SPM190-24</v>
      </c>
      <c r="B7" s="77" t="s">
        <v>6</v>
      </c>
      <c r="C7" s="77" t="s">
        <v>269</v>
      </c>
      <c r="D7" s="77">
        <v>190</v>
      </c>
      <c r="E7" s="77">
        <v>36</v>
      </c>
      <c r="F7" s="77">
        <v>5.44</v>
      </c>
      <c r="G7" s="77">
        <v>43.2</v>
      </c>
      <c r="H7" s="77">
        <v>5.98</v>
      </c>
      <c r="I7" s="77">
        <v>-0.34</v>
      </c>
      <c r="J7" s="77">
        <v>3.6999999999999998E-2</v>
      </c>
    </row>
    <row r="8" spans="1:10">
      <c r="A8" s="80" t="str">
        <f t="shared" si="0"/>
        <v>Victron Energy SPM300-24</v>
      </c>
      <c r="B8" s="77" t="s">
        <v>6</v>
      </c>
      <c r="C8" s="77" t="s">
        <v>270</v>
      </c>
      <c r="D8" s="77">
        <v>300</v>
      </c>
      <c r="E8" s="77">
        <v>36</v>
      </c>
      <c r="F8" s="77">
        <v>8.06</v>
      </c>
      <c r="G8" s="77">
        <v>45.5</v>
      </c>
      <c r="H8" s="77">
        <v>8.56</v>
      </c>
      <c r="I8" s="77">
        <v>-0.34</v>
      </c>
      <c r="J8" s="77">
        <v>0.05</v>
      </c>
    </row>
    <row r="9" spans="1:10">
      <c r="A9" s="80" t="str">
        <f t="shared" si="0"/>
        <v>Victron Energy SPP30-12</v>
      </c>
      <c r="B9" s="77" t="s">
        <v>6</v>
      </c>
      <c r="C9" s="77" t="s">
        <v>39</v>
      </c>
      <c r="D9" s="77">
        <v>30</v>
      </c>
      <c r="E9" s="77">
        <v>18</v>
      </c>
      <c r="F9" s="77">
        <v>1.66</v>
      </c>
      <c r="G9" s="77">
        <v>21.6</v>
      </c>
      <c r="H9" s="77">
        <v>1.83</v>
      </c>
      <c r="I9" s="77">
        <v>-0.35</v>
      </c>
      <c r="J9" s="77">
        <v>0.05</v>
      </c>
    </row>
    <row r="10" spans="1:10">
      <c r="A10" s="80" t="str">
        <f t="shared" si="0"/>
        <v>Victron Energy SPP50-12</v>
      </c>
      <c r="B10" s="77" t="s">
        <v>6</v>
      </c>
      <c r="C10" s="77" t="s">
        <v>40</v>
      </c>
      <c r="D10" s="77">
        <v>50</v>
      </c>
      <c r="E10" s="77">
        <v>18</v>
      </c>
      <c r="F10" s="77">
        <v>2.85</v>
      </c>
      <c r="G10" s="77">
        <v>22.19</v>
      </c>
      <c r="H10" s="77">
        <v>3.09</v>
      </c>
      <c r="I10" s="77">
        <v>-0.35</v>
      </c>
      <c r="J10" s="77">
        <v>0.05</v>
      </c>
    </row>
    <row r="11" spans="1:10">
      <c r="A11" s="80" t="str">
        <f t="shared" si="0"/>
        <v>Victron Energy SPP80-12</v>
      </c>
      <c r="B11" s="77" t="s">
        <v>6</v>
      </c>
      <c r="C11" s="77" t="s">
        <v>41</v>
      </c>
      <c r="D11" s="77">
        <v>80</v>
      </c>
      <c r="E11" s="77">
        <v>18</v>
      </c>
      <c r="F11" s="77">
        <v>4.58</v>
      </c>
      <c r="G11" s="77">
        <v>22.25</v>
      </c>
      <c r="H11" s="77">
        <v>4.9800000000000004</v>
      </c>
      <c r="I11" s="77">
        <v>-0.34</v>
      </c>
      <c r="J11" s="77">
        <v>4.4999999999999998E-2</v>
      </c>
    </row>
    <row r="12" spans="1:10">
      <c r="A12" s="80" t="str">
        <f t="shared" si="0"/>
        <v>Victron Energy SPP100-12</v>
      </c>
      <c r="B12" s="77" t="s">
        <v>6</v>
      </c>
      <c r="C12" s="77" t="s">
        <v>42</v>
      </c>
      <c r="D12" s="77">
        <v>100</v>
      </c>
      <c r="E12" s="77">
        <v>18</v>
      </c>
      <c r="F12" s="77">
        <v>5.72</v>
      </c>
      <c r="G12" s="77">
        <v>22.36</v>
      </c>
      <c r="H12" s="77">
        <v>6.12</v>
      </c>
      <c r="I12" s="77">
        <v>-0.34</v>
      </c>
      <c r="J12" s="77">
        <v>4.4999999999999998E-2</v>
      </c>
    </row>
    <row r="13" spans="1:10">
      <c r="A13" s="80" t="str">
        <f t="shared" si="0"/>
        <v>Victron Energy SPP140-12</v>
      </c>
      <c r="B13" s="77" t="s">
        <v>6</v>
      </c>
      <c r="C13" s="77" t="s">
        <v>271</v>
      </c>
      <c r="D13" s="77">
        <v>140</v>
      </c>
      <c r="E13" s="77">
        <v>18</v>
      </c>
      <c r="F13" s="77">
        <v>8.0500000000000007</v>
      </c>
      <c r="G13" s="77">
        <v>21.6</v>
      </c>
      <c r="H13" s="77">
        <v>8.85</v>
      </c>
      <c r="I13" s="77">
        <v>-0.35</v>
      </c>
      <c r="J13" s="77">
        <v>0.05</v>
      </c>
    </row>
    <row r="14" spans="1:10">
      <c r="A14" s="80" t="str">
        <f t="shared" si="0"/>
        <v>Victron Energy SPP280-24</v>
      </c>
      <c r="B14" s="77" t="s">
        <v>6</v>
      </c>
      <c r="C14" s="77" t="s">
        <v>43</v>
      </c>
      <c r="D14" s="77">
        <v>280</v>
      </c>
      <c r="E14" s="77">
        <v>36</v>
      </c>
      <c r="F14" s="77">
        <v>7.89</v>
      </c>
      <c r="G14" s="77">
        <v>44.25</v>
      </c>
      <c r="H14" s="77">
        <v>8.76</v>
      </c>
      <c r="I14" s="77">
        <v>-0.35</v>
      </c>
      <c r="J14" s="77">
        <v>4.4999999999999998E-2</v>
      </c>
    </row>
    <row r="15" spans="1:10">
      <c r="A15" s="80" t="str">
        <f t="shared" si="0"/>
        <v>Custom: 1XYZ 1ABC</v>
      </c>
      <c r="B15" s="5" t="s">
        <v>224</v>
      </c>
      <c r="C15" s="5" t="s">
        <v>226</v>
      </c>
      <c r="D15" s="5">
        <v>275</v>
      </c>
      <c r="E15" s="5">
        <v>30.89</v>
      </c>
      <c r="F15" s="5">
        <v>8.9</v>
      </c>
      <c r="G15" s="5">
        <v>38.200000000000003</v>
      </c>
      <c r="H15" s="5">
        <v>9.52</v>
      </c>
      <c r="I15" s="5">
        <v>-0.31</v>
      </c>
      <c r="J15" s="5">
        <v>4.7E-2</v>
      </c>
    </row>
    <row r="16" spans="1:10">
      <c r="A16" s="80" t="str">
        <f t="shared" si="0"/>
        <v>Custom: 2XYZ 2ABC</v>
      </c>
      <c r="B16" s="5" t="s">
        <v>225</v>
      </c>
      <c r="C16" s="5" t="s">
        <v>227</v>
      </c>
      <c r="D16" s="5">
        <v>285</v>
      </c>
      <c r="E16" s="5">
        <v>35.5</v>
      </c>
      <c r="F16" s="5">
        <v>6.46</v>
      </c>
      <c r="G16" s="5">
        <v>45</v>
      </c>
      <c r="H16" s="5">
        <v>8.5</v>
      </c>
      <c r="I16" s="5">
        <v>-0.33</v>
      </c>
      <c r="J16" s="5">
        <v>0.06</v>
      </c>
    </row>
    <row r="17" spans="1:10">
      <c r="A17" s="80" t="str">
        <f t="shared" si="0"/>
        <v>Custom: 3XYZ 3ABC</v>
      </c>
      <c r="B17" s="5" t="s">
        <v>232</v>
      </c>
      <c r="C17" s="5" t="s">
        <v>233</v>
      </c>
      <c r="D17" s="5">
        <v>245</v>
      </c>
      <c r="E17" s="5">
        <v>44.3</v>
      </c>
      <c r="F17" s="5">
        <v>5.54</v>
      </c>
      <c r="G17" s="5">
        <v>53</v>
      </c>
      <c r="H17" s="5">
        <v>5.86</v>
      </c>
      <c r="I17" s="5">
        <v>-0.25</v>
      </c>
      <c r="J17" s="5">
        <v>0.03</v>
      </c>
    </row>
  </sheetData>
  <sheetProtection sheet="1" objects="1" scenarios="1" selectLockedCells="1"/>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Sheet3"/>
  <dimension ref="A1:T9"/>
  <sheetViews>
    <sheetView topLeftCell="B1" workbookViewId="0">
      <selection activeCell="R13" sqref="R13"/>
    </sheetView>
  </sheetViews>
  <sheetFormatPr defaultRowHeight="15"/>
  <cols>
    <col min="1" max="1" width="37.42578125" style="52" customWidth="1"/>
    <col min="2" max="2" width="16.140625" style="52" customWidth="1"/>
    <col min="3" max="3" width="22.85546875" style="52" customWidth="1"/>
    <col min="4" max="7" width="12.7109375" style="52" bestFit="1" customWidth="1"/>
    <col min="8" max="8" width="8.42578125" style="52" bestFit="1" customWidth="1"/>
    <col min="9" max="9" width="8.140625" style="52" bestFit="1" customWidth="1"/>
    <col min="10" max="10" width="10.140625" style="52" bestFit="1" customWidth="1"/>
    <col min="11" max="14" width="6.7109375" style="52" customWidth="1"/>
    <col min="15" max="15" width="9.140625" style="52"/>
    <col min="16" max="16" width="13.5703125" style="52" bestFit="1" customWidth="1"/>
    <col min="17" max="19" width="13.28515625" style="52" customWidth="1"/>
    <col min="20" max="16384" width="9.140625" style="52"/>
  </cols>
  <sheetData>
    <row r="1" spans="1:20">
      <c r="A1" s="74"/>
      <c r="B1" s="74" t="s">
        <v>0</v>
      </c>
      <c r="C1" s="74" t="s">
        <v>1</v>
      </c>
      <c r="D1" s="74" t="s">
        <v>15</v>
      </c>
      <c r="E1" s="74" t="s">
        <v>16</v>
      </c>
      <c r="F1" s="74" t="s">
        <v>17</v>
      </c>
      <c r="G1" s="74" t="s">
        <v>18</v>
      </c>
      <c r="H1" s="74" t="s">
        <v>79</v>
      </c>
      <c r="I1" s="74" t="s">
        <v>80</v>
      </c>
      <c r="J1" s="74" t="s">
        <v>81</v>
      </c>
      <c r="K1" s="122" t="s">
        <v>24</v>
      </c>
      <c r="L1" s="122"/>
      <c r="M1" s="122"/>
      <c r="N1" s="122"/>
      <c r="O1" s="74" t="s">
        <v>26</v>
      </c>
      <c r="P1" s="75" t="s">
        <v>32</v>
      </c>
      <c r="Q1" s="75" t="s">
        <v>33</v>
      </c>
      <c r="R1" s="75" t="s">
        <v>34</v>
      </c>
      <c r="S1" s="75" t="s">
        <v>35</v>
      </c>
      <c r="T1" s="54"/>
    </row>
    <row r="2" spans="1:20">
      <c r="A2" s="76" t="str">
        <f t="shared" ref="A2:A9" si="0">B2&amp;" "&amp;C2</f>
        <v>Victron Energy BlueSolar MPPT 75/15</v>
      </c>
      <c r="B2" s="77" t="s">
        <v>6</v>
      </c>
      <c r="C2" s="77" t="s">
        <v>10</v>
      </c>
      <c r="D2" s="77">
        <v>200</v>
      </c>
      <c r="E2" s="77">
        <v>400</v>
      </c>
      <c r="F2" s="78">
        <v>0</v>
      </c>
      <c r="G2" s="78">
        <v>0</v>
      </c>
      <c r="H2" s="77">
        <v>75</v>
      </c>
      <c r="I2" s="79">
        <v>5</v>
      </c>
      <c r="J2" s="79">
        <v>1</v>
      </c>
      <c r="K2" s="77">
        <v>12</v>
      </c>
      <c r="L2" s="77">
        <v>24</v>
      </c>
      <c r="M2" s="78" t="s">
        <v>140</v>
      </c>
      <c r="N2" s="78" t="s">
        <v>140</v>
      </c>
      <c r="O2" s="77">
        <v>15</v>
      </c>
      <c r="P2" s="77">
        <v>0.98</v>
      </c>
      <c r="Q2" s="77">
        <v>0.98</v>
      </c>
      <c r="R2" s="78">
        <v>0</v>
      </c>
      <c r="S2" s="78">
        <v>0</v>
      </c>
      <c r="T2" s="54"/>
    </row>
    <row r="3" spans="1:20">
      <c r="A3" s="76" t="str">
        <f t="shared" si="0"/>
        <v>Victron Energy BlueSolar MPPT 75/50</v>
      </c>
      <c r="B3" s="77" t="s">
        <v>6</v>
      </c>
      <c r="C3" s="77" t="s">
        <v>11</v>
      </c>
      <c r="D3" s="77">
        <v>700</v>
      </c>
      <c r="E3" s="77">
        <v>1400</v>
      </c>
      <c r="F3" s="78">
        <v>0</v>
      </c>
      <c r="G3" s="78">
        <v>0</v>
      </c>
      <c r="H3" s="77">
        <v>75</v>
      </c>
      <c r="I3" s="79">
        <v>5</v>
      </c>
      <c r="J3" s="79">
        <v>1</v>
      </c>
      <c r="K3" s="77">
        <v>12</v>
      </c>
      <c r="L3" s="77">
        <v>24</v>
      </c>
      <c r="M3" s="78" t="s">
        <v>140</v>
      </c>
      <c r="N3" s="78" t="s">
        <v>140</v>
      </c>
      <c r="O3" s="77">
        <v>50</v>
      </c>
      <c r="P3" s="77">
        <v>0.98</v>
      </c>
      <c r="Q3" s="77">
        <v>0.98</v>
      </c>
      <c r="R3" s="78">
        <v>0</v>
      </c>
      <c r="S3" s="78">
        <v>0</v>
      </c>
      <c r="T3" s="54"/>
    </row>
    <row r="4" spans="1:20">
      <c r="A4" s="76" t="str">
        <f t="shared" si="0"/>
        <v>Victron Energy BlueSolar MPPT 100/15</v>
      </c>
      <c r="B4" s="77" t="s">
        <v>6</v>
      </c>
      <c r="C4" s="77" t="s">
        <v>47</v>
      </c>
      <c r="D4" s="77">
        <v>200</v>
      </c>
      <c r="E4" s="77">
        <v>400</v>
      </c>
      <c r="F4" s="78">
        <v>0</v>
      </c>
      <c r="G4" s="78">
        <v>0</v>
      </c>
      <c r="H4" s="77">
        <v>100</v>
      </c>
      <c r="I4" s="79">
        <v>5</v>
      </c>
      <c r="J4" s="79">
        <v>1</v>
      </c>
      <c r="K4" s="77">
        <v>12</v>
      </c>
      <c r="L4" s="77">
        <v>24</v>
      </c>
      <c r="M4" s="78" t="s">
        <v>140</v>
      </c>
      <c r="N4" s="78" t="s">
        <v>140</v>
      </c>
      <c r="O4" s="77">
        <v>15</v>
      </c>
      <c r="P4" s="77">
        <v>0.98</v>
      </c>
      <c r="Q4" s="77">
        <v>0.98</v>
      </c>
      <c r="R4" s="78">
        <v>0</v>
      </c>
      <c r="S4" s="78">
        <v>0</v>
      </c>
      <c r="T4" s="54"/>
    </row>
    <row r="5" spans="1:20">
      <c r="A5" s="76" t="str">
        <f t="shared" si="0"/>
        <v>Victron Energy BlueSolar MPPT 100/30</v>
      </c>
      <c r="B5" s="77" t="s">
        <v>6</v>
      </c>
      <c r="C5" s="77" t="s">
        <v>222</v>
      </c>
      <c r="D5" s="89">
        <v>440</v>
      </c>
      <c r="E5" s="89">
        <v>880</v>
      </c>
      <c r="F5" s="90">
        <v>0</v>
      </c>
      <c r="G5" s="90">
        <v>0</v>
      </c>
      <c r="H5" s="89">
        <v>100</v>
      </c>
      <c r="I5" s="91">
        <v>5</v>
      </c>
      <c r="J5" s="91">
        <v>1</v>
      </c>
      <c r="K5" s="89">
        <v>12</v>
      </c>
      <c r="L5" s="89">
        <v>24</v>
      </c>
      <c r="M5" s="90" t="s">
        <v>140</v>
      </c>
      <c r="N5" s="90" t="s">
        <v>140</v>
      </c>
      <c r="O5" s="89">
        <v>30</v>
      </c>
      <c r="P5" s="89">
        <v>0.98</v>
      </c>
      <c r="Q5" s="89">
        <v>0.98</v>
      </c>
      <c r="R5" s="90">
        <v>0</v>
      </c>
      <c r="S5" s="90">
        <v>0</v>
      </c>
      <c r="T5" s="54"/>
    </row>
    <row r="6" spans="1:20">
      <c r="A6" s="76" t="str">
        <f t="shared" si="0"/>
        <v>Victron Energy BlueSolar MPPT 100/50</v>
      </c>
      <c r="B6" s="77" t="s">
        <v>6</v>
      </c>
      <c r="C6" s="77" t="s">
        <v>221</v>
      </c>
      <c r="D6" s="89">
        <v>700</v>
      </c>
      <c r="E6" s="89">
        <v>1400</v>
      </c>
      <c r="F6" s="90">
        <v>0</v>
      </c>
      <c r="G6" s="90">
        <v>0</v>
      </c>
      <c r="H6" s="89">
        <v>100</v>
      </c>
      <c r="I6" s="91">
        <v>5</v>
      </c>
      <c r="J6" s="91">
        <v>1</v>
      </c>
      <c r="K6" s="89">
        <v>12</v>
      </c>
      <c r="L6" s="89">
        <v>24</v>
      </c>
      <c r="M6" s="90" t="s">
        <v>140</v>
      </c>
      <c r="N6" s="90" t="s">
        <v>140</v>
      </c>
      <c r="O6" s="89">
        <v>50</v>
      </c>
      <c r="P6" s="89">
        <v>0.98</v>
      </c>
      <c r="Q6" s="89">
        <v>0.98</v>
      </c>
      <c r="R6" s="90">
        <v>0</v>
      </c>
      <c r="S6" s="90">
        <v>0</v>
      </c>
      <c r="T6" s="54"/>
    </row>
    <row r="7" spans="1:20">
      <c r="A7" s="76" t="str">
        <f t="shared" si="0"/>
        <v>Victron Energy BlueSolar MPPT 150/35</v>
      </c>
      <c r="B7" s="77" t="s">
        <v>6</v>
      </c>
      <c r="C7" s="77" t="s">
        <v>223</v>
      </c>
      <c r="D7" s="89">
        <v>500</v>
      </c>
      <c r="E7" s="89">
        <v>1000</v>
      </c>
      <c r="F7" s="89">
        <v>1500</v>
      </c>
      <c r="G7" s="89">
        <v>2000</v>
      </c>
      <c r="H7" s="89">
        <v>150</v>
      </c>
      <c r="I7" s="91">
        <v>5</v>
      </c>
      <c r="J7" s="91">
        <v>1</v>
      </c>
      <c r="K7" s="89">
        <v>12</v>
      </c>
      <c r="L7" s="89">
        <v>24</v>
      </c>
      <c r="M7" s="89">
        <v>36</v>
      </c>
      <c r="N7" s="89">
        <v>48</v>
      </c>
      <c r="O7" s="89">
        <v>35</v>
      </c>
      <c r="P7" s="89">
        <v>0.98</v>
      </c>
      <c r="Q7" s="89">
        <v>0.98</v>
      </c>
      <c r="R7" s="89">
        <v>0.98</v>
      </c>
      <c r="S7" s="89">
        <v>0.98</v>
      </c>
      <c r="T7" s="54"/>
    </row>
    <row r="8" spans="1:20">
      <c r="A8" s="76" t="str">
        <f t="shared" si="0"/>
        <v>Victron Energy BlueSolar MPPT 150/70</v>
      </c>
      <c r="B8" s="77" t="s">
        <v>6</v>
      </c>
      <c r="C8" s="77" t="s">
        <v>12</v>
      </c>
      <c r="D8" s="77">
        <v>1000</v>
      </c>
      <c r="E8" s="77">
        <v>2000</v>
      </c>
      <c r="F8" s="77">
        <v>3000</v>
      </c>
      <c r="G8" s="77">
        <v>4000</v>
      </c>
      <c r="H8" s="77">
        <v>150</v>
      </c>
      <c r="I8" s="79">
        <v>7</v>
      </c>
      <c r="J8" s="79">
        <v>2</v>
      </c>
      <c r="K8" s="77">
        <v>12</v>
      </c>
      <c r="L8" s="77">
        <v>24</v>
      </c>
      <c r="M8" s="77">
        <v>36</v>
      </c>
      <c r="N8" s="77">
        <v>48</v>
      </c>
      <c r="O8" s="77">
        <v>70</v>
      </c>
      <c r="P8" s="77">
        <v>0.95</v>
      </c>
      <c r="Q8" s="77">
        <v>0.96499999999999997</v>
      </c>
      <c r="R8" s="77">
        <v>0.97</v>
      </c>
      <c r="S8" s="77">
        <v>0.97499999999999998</v>
      </c>
      <c r="T8" s="54"/>
    </row>
    <row r="9" spans="1:20">
      <c r="A9" s="76" t="str">
        <f t="shared" si="0"/>
        <v>Victron Energy BlueSolar MPPT 150/85</v>
      </c>
      <c r="B9" s="77" t="s">
        <v>6</v>
      </c>
      <c r="C9" s="77" t="s">
        <v>220</v>
      </c>
      <c r="D9" s="89">
        <v>1200</v>
      </c>
      <c r="E9" s="89">
        <v>2400</v>
      </c>
      <c r="F9" s="89">
        <v>3600</v>
      </c>
      <c r="G9" s="89">
        <v>4850</v>
      </c>
      <c r="H9" s="89">
        <v>150</v>
      </c>
      <c r="I9" s="91">
        <v>7</v>
      </c>
      <c r="J9" s="91">
        <v>2</v>
      </c>
      <c r="K9" s="89">
        <v>12</v>
      </c>
      <c r="L9" s="89">
        <v>24</v>
      </c>
      <c r="M9" s="89">
        <v>36</v>
      </c>
      <c r="N9" s="89">
        <v>48</v>
      </c>
      <c r="O9" s="89">
        <v>85</v>
      </c>
      <c r="P9" s="89">
        <v>0.95</v>
      </c>
      <c r="Q9" s="89">
        <v>0.96499999999999997</v>
      </c>
      <c r="R9" s="89">
        <v>0.97</v>
      </c>
      <c r="S9" s="89">
        <v>0.97499999999999998</v>
      </c>
    </row>
  </sheetData>
  <sheetProtection sheet="1" objects="1" scenarios="1" selectLockedCells="1" selectUnlockedCells="1"/>
  <mergeCells count="1">
    <mergeCell ref="K1:N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sheetPr codeName="Sheet4"/>
  <dimension ref="A1:L46"/>
  <sheetViews>
    <sheetView workbookViewId="0">
      <selection activeCell="H29" sqref="H29"/>
    </sheetView>
  </sheetViews>
  <sheetFormatPr defaultRowHeight="15"/>
  <cols>
    <col min="1" max="10" width="20" customWidth="1"/>
  </cols>
  <sheetData>
    <row r="1" spans="1:3" s="2" customFormat="1" ht="2.25" customHeight="1"/>
    <row r="2" spans="1:3" s="1" customFormat="1">
      <c r="A2" s="1" t="s">
        <v>30</v>
      </c>
    </row>
    <row r="3" spans="1:3" s="3" customFormat="1" ht="7.5" customHeight="1"/>
    <row r="4" spans="1:3" s="28" customFormat="1">
      <c r="A4" s="28" t="s">
        <v>57</v>
      </c>
      <c r="B4" s="29">
        <f>Form!E10</f>
        <v>0</v>
      </c>
      <c r="C4" s="28" t="s">
        <v>20</v>
      </c>
    </row>
    <row r="5" spans="1:3" s="28" customFormat="1">
      <c r="B5" s="29">
        <f>Form!G10</f>
        <v>70</v>
      </c>
      <c r="C5" s="28" t="s">
        <v>21</v>
      </c>
    </row>
    <row r="6" spans="1:3" s="3" customFormat="1" ht="7.5" customHeight="1">
      <c r="B6" s="68"/>
    </row>
    <row r="7" spans="1:3" s="28" customFormat="1">
      <c r="A7" s="28" t="s">
        <v>95</v>
      </c>
      <c r="B7" s="30">
        <f>INDEX(Modules!B2:J17,Form!D4,6)*Form!D6</f>
        <v>129.60000000000002</v>
      </c>
      <c r="C7" s="28" t="s">
        <v>75</v>
      </c>
    </row>
    <row r="8" spans="1:3" s="28" customFormat="1">
      <c r="B8" s="30">
        <f>INDEX(Modules!B2:J17,Form!D4,4)*Form!D6</f>
        <v>108</v>
      </c>
      <c r="C8" s="28" t="s">
        <v>76</v>
      </c>
    </row>
    <row r="9" spans="1:3" s="28" customFormat="1">
      <c r="B9" s="31">
        <f>INDEX(Modules!B2:J17,Form!D4,7)*Form!G6</f>
        <v>47.64</v>
      </c>
      <c r="C9" s="28" t="s">
        <v>49</v>
      </c>
    </row>
    <row r="10" spans="1:3" s="28" customFormat="1">
      <c r="B10" s="31">
        <f>INDEX(Modules!B2:J17,Form!D4,5)*Form!G6</f>
        <v>43.38</v>
      </c>
      <c r="C10" s="28" t="s">
        <v>50</v>
      </c>
    </row>
    <row r="11" spans="1:3" s="28" customFormat="1">
      <c r="B11" s="46">
        <f>$B$10*$B$8/D18</f>
        <v>97.605000000000004</v>
      </c>
      <c r="C11" s="47" t="s">
        <v>48</v>
      </c>
    </row>
    <row r="12" spans="1:3" s="28" customFormat="1">
      <c r="B12" s="32">
        <f>INDEX(Modules!B2:J17,Form!D4,8)</f>
        <v>-0.34</v>
      </c>
      <c r="C12" s="28" t="s">
        <v>77</v>
      </c>
    </row>
    <row r="13" spans="1:3" s="28" customFormat="1">
      <c r="B13" s="33">
        <f>(B7/100)*B12</f>
        <v>-0.44064000000000014</v>
      </c>
      <c r="C13" s="28" t="s">
        <v>78</v>
      </c>
    </row>
    <row r="14" spans="1:3" s="28" customFormat="1">
      <c r="B14" s="32">
        <f>INDEX(Modules!B2:J17,Form!D4,9)</f>
        <v>0.05</v>
      </c>
      <c r="C14" s="28" t="s">
        <v>27</v>
      </c>
    </row>
    <row r="15" spans="1:3" s="28" customFormat="1">
      <c r="B15" s="34">
        <f>B9*(B14/100)</f>
        <v>2.3820000000000001E-2</v>
      </c>
      <c r="C15" s="28" t="s">
        <v>28</v>
      </c>
    </row>
    <row r="16" spans="1:3" s="3" customFormat="1" ht="7.5" customHeight="1"/>
    <row r="17" spans="1:10" s="28" customFormat="1">
      <c r="A17" s="28" t="s">
        <v>62</v>
      </c>
      <c r="B17" s="30">
        <f>INDEX(Regulator!$B$2:$H$9,Form!$D$12,7)</f>
        <v>150</v>
      </c>
      <c r="C17" s="28" t="s">
        <v>79</v>
      </c>
      <c r="D17" s="35">
        <f>INDEX(Regulator!B2:O9,Form!$D$12,14)</f>
        <v>85</v>
      </c>
      <c r="E17" s="28" t="s">
        <v>26</v>
      </c>
    </row>
    <row r="18" spans="1:10" s="28" customFormat="1">
      <c r="B18" s="30">
        <f>INDEX(Regulator!B2:J9,Form!D12,8)+D18</f>
        <v>55</v>
      </c>
      <c r="C18" s="28" t="s">
        <v>80</v>
      </c>
      <c r="D18" s="36">
        <f>IF(INDEX(Form!$J$11:$J$14,Form!$E$14,1)="N.A.",0,INDEX(Form!$J$11:$J$14,Form!$E$14,1))</f>
        <v>48</v>
      </c>
      <c r="E18" s="28" t="s">
        <v>22</v>
      </c>
      <c r="F18" s="37">
        <f>IF(D18=12,15,IF(D18=24,16,IF(D18=36,17,18)))</f>
        <v>18</v>
      </c>
      <c r="G18" s="37"/>
    </row>
    <row r="19" spans="1:10" s="28" customFormat="1">
      <c r="B19" s="30">
        <f>INDEX(Regulator!$B$2:$J$18,Form!$E$14,9)+D18</f>
        <v>49</v>
      </c>
      <c r="C19" s="28" t="s">
        <v>81</v>
      </c>
      <c r="D19" s="28">
        <f>INDEX(Regulator!B2:S9,Form!$D$12,F18)</f>
        <v>0.97499999999999998</v>
      </c>
      <c r="E19" s="28" t="s">
        <v>36</v>
      </c>
    </row>
    <row r="20" spans="1:10" s="93" customFormat="1" ht="7.5" customHeight="1">
      <c r="B20" s="94"/>
    </row>
    <row r="21" spans="1:10" s="28" customFormat="1">
      <c r="A21" s="28" t="s">
        <v>234</v>
      </c>
      <c r="B21" s="97">
        <v>1.78E-2</v>
      </c>
      <c r="C21" s="28" t="s">
        <v>237</v>
      </c>
    </row>
    <row r="22" spans="1:10" s="28" customFormat="1">
      <c r="B22" s="98">
        <f>((Form!E16+Form!E16)*B21)/Form!G16</f>
        <v>2.9666666666666664E-2</v>
      </c>
      <c r="C22" s="28" t="s">
        <v>240</v>
      </c>
    </row>
    <row r="23" spans="1:10" s="3" customFormat="1" ht="7.5" customHeight="1">
      <c r="A23" s="93"/>
      <c r="B23" s="4"/>
    </row>
    <row r="24" spans="1:10" s="2" customFormat="1" ht="2.25" customHeight="1"/>
    <row r="25" spans="1:10" s="1" customFormat="1" ht="15" customHeight="1">
      <c r="A25" s="1" t="s">
        <v>29</v>
      </c>
    </row>
    <row r="26" spans="1:10" s="3" customFormat="1" ht="7.5" customHeight="1"/>
    <row r="27" spans="1:10" s="39" customFormat="1">
      <c r="A27" s="39" t="s">
        <v>19</v>
      </c>
      <c r="B27" s="39" t="s">
        <v>82</v>
      </c>
      <c r="C27" s="39" t="s">
        <v>87</v>
      </c>
      <c r="D27" s="39" t="s">
        <v>88</v>
      </c>
      <c r="E27" s="39" t="s">
        <v>89</v>
      </c>
      <c r="F27" s="99" t="s">
        <v>90</v>
      </c>
      <c r="G27" s="39" t="s">
        <v>238</v>
      </c>
      <c r="H27" s="39" t="s">
        <v>91</v>
      </c>
      <c r="I27" s="99" t="s">
        <v>92</v>
      </c>
      <c r="J27" s="39" t="s">
        <v>239</v>
      </c>
    </row>
    <row r="28" spans="1:10" s="39" customFormat="1">
      <c r="A28" s="40">
        <f>B4</f>
        <v>0</v>
      </c>
      <c r="B28" s="41">
        <f>$B$17</f>
        <v>150</v>
      </c>
      <c r="C28" s="41">
        <f>$B$18</f>
        <v>55</v>
      </c>
      <c r="D28" s="41">
        <f>$B$19</f>
        <v>49</v>
      </c>
      <c r="E28" s="41">
        <f>$B$7+($B$13*-(25-A28))</f>
        <v>140.61600000000001</v>
      </c>
      <c r="F28" s="100">
        <f>$B$8+($B$13*-(25-A28))</f>
        <v>119.01600000000001</v>
      </c>
      <c r="G28" s="42">
        <f>($B$8+($B$13*-(25-A28))-($B$22*E38))</f>
        <v>116.49433333333334</v>
      </c>
      <c r="I28" s="99"/>
    </row>
    <row r="29" spans="1:10" s="39" customFormat="1">
      <c r="A29" s="39">
        <f>A28+5</f>
        <v>5</v>
      </c>
      <c r="B29" s="41">
        <f t="shared" ref="B29:B35" si="0">$B$17</f>
        <v>150</v>
      </c>
      <c r="C29" s="41">
        <f t="shared" ref="C29:C35" si="1">$B$18</f>
        <v>55</v>
      </c>
      <c r="D29" s="41">
        <f t="shared" ref="D29:D35" si="2">$B$19</f>
        <v>49</v>
      </c>
      <c r="E29" s="41">
        <f>$B$7+($B$13*-(25-A29))</f>
        <v>138.41280000000003</v>
      </c>
      <c r="F29" s="100">
        <f>$B$8+($B$13*-(25-A29))</f>
        <v>116.81280000000001</v>
      </c>
      <c r="G29" s="42">
        <f t="shared" ref="G29:G30" si="3">($B$8+($B$13*-(25-A29))-($B$22*E39))</f>
        <v>114.29113333333335</v>
      </c>
      <c r="I29" s="99"/>
    </row>
    <row r="30" spans="1:10" s="39" customFormat="1">
      <c r="A30" s="39">
        <f>A29+5</f>
        <v>10</v>
      </c>
      <c r="B30" s="41">
        <f t="shared" si="0"/>
        <v>150</v>
      </c>
      <c r="C30" s="41">
        <f t="shared" si="1"/>
        <v>55</v>
      </c>
      <c r="D30" s="41">
        <f t="shared" si="2"/>
        <v>49</v>
      </c>
      <c r="E30" s="41">
        <f>$B$7+($B$13*-(25-A30))</f>
        <v>136.20960000000002</v>
      </c>
      <c r="F30" s="100">
        <f>$B$8+($B$13*-(25-A30))</f>
        <v>114.6096</v>
      </c>
      <c r="G30" s="42">
        <f t="shared" si="3"/>
        <v>112.08793333333334</v>
      </c>
      <c r="I30" s="99"/>
    </row>
    <row r="31" spans="1:10" s="39" customFormat="1">
      <c r="A31" s="39">
        <f>A30+5</f>
        <v>15</v>
      </c>
      <c r="B31" s="41">
        <f t="shared" si="0"/>
        <v>150</v>
      </c>
      <c r="C31" s="41">
        <f t="shared" si="1"/>
        <v>55</v>
      </c>
      <c r="D31" s="41">
        <f t="shared" si="2"/>
        <v>49</v>
      </c>
      <c r="E31" s="41">
        <f>$B$7+($B$13*-(25-A31))</f>
        <v>134.00640000000001</v>
      </c>
      <c r="F31" s="100">
        <f>$B$8+($B$13*-(25-A31))</f>
        <v>112.4064</v>
      </c>
      <c r="G31" s="42">
        <f>($B$8+($B$13*-(25-A31))-($B$22*E41))</f>
        <v>109.88473333333334</v>
      </c>
      <c r="I31" s="99"/>
    </row>
    <row r="32" spans="1:10" s="39" customFormat="1">
      <c r="A32" s="39">
        <f>A33-5</f>
        <v>55</v>
      </c>
      <c r="B32" s="41">
        <f t="shared" si="0"/>
        <v>150</v>
      </c>
      <c r="C32" s="41">
        <f t="shared" si="1"/>
        <v>55</v>
      </c>
      <c r="D32" s="41">
        <f t="shared" si="2"/>
        <v>49</v>
      </c>
      <c r="E32" s="42"/>
      <c r="H32" s="41">
        <f>$B$7+($B$13*-(25-A32))</f>
        <v>116.38080000000002</v>
      </c>
      <c r="I32" s="100">
        <f>$B$8+($B$13*-(25-A32))</f>
        <v>94.780799999999999</v>
      </c>
      <c r="J32" s="41">
        <f>$B$8+($B$13*-(25-A32))-($B$22*F42)</f>
        <v>92.262323472147003</v>
      </c>
    </row>
    <row r="33" spans="1:12" s="39" customFormat="1">
      <c r="A33" s="39">
        <f>A34-5</f>
        <v>60</v>
      </c>
      <c r="B33" s="41">
        <f t="shared" si="0"/>
        <v>150</v>
      </c>
      <c r="C33" s="41">
        <f t="shared" si="1"/>
        <v>55</v>
      </c>
      <c r="D33" s="41">
        <f t="shared" si="2"/>
        <v>49</v>
      </c>
      <c r="E33" s="42"/>
      <c r="H33" s="41">
        <f>$B$7+($B$13*-(25-A33))</f>
        <v>114.17760000000001</v>
      </c>
      <c r="I33" s="100">
        <f t="shared" ref="I33:I35" si="4">$B$8+($B$13*-(25-A33))</f>
        <v>92.57759999999999</v>
      </c>
      <c r="J33" s="41">
        <f t="shared" ref="J33:J35" si="5">$B$8+($B$13*-(25-A33))-($B$22*F43)</f>
        <v>90.111021689729242</v>
      </c>
    </row>
    <row r="34" spans="1:12" s="39" customFormat="1">
      <c r="A34" s="39">
        <f>A35-5</f>
        <v>65</v>
      </c>
      <c r="B34" s="41">
        <f t="shared" si="0"/>
        <v>150</v>
      </c>
      <c r="C34" s="41">
        <f t="shared" si="1"/>
        <v>55</v>
      </c>
      <c r="D34" s="41">
        <f t="shared" si="2"/>
        <v>49</v>
      </c>
      <c r="E34" s="42"/>
      <c r="H34" s="41">
        <f>$B$7+($B$13*-(25-A34))</f>
        <v>111.97440000000002</v>
      </c>
      <c r="I34" s="100">
        <f t="shared" si="4"/>
        <v>90.374399999999994</v>
      </c>
      <c r="J34" s="41">
        <f t="shared" si="5"/>
        <v>87.960036155327998</v>
      </c>
    </row>
    <row r="35" spans="1:12" s="39" customFormat="1">
      <c r="A35" s="40">
        <f>B5</f>
        <v>70</v>
      </c>
      <c r="B35" s="41">
        <f t="shared" si="0"/>
        <v>150</v>
      </c>
      <c r="C35" s="41">
        <f t="shared" si="1"/>
        <v>55</v>
      </c>
      <c r="D35" s="41">
        <f t="shared" si="2"/>
        <v>49</v>
      </c>
      <c r="E35" s="42"/>
      <c r="H35" s="41">
        <f>$B$7+($B$13*-(25-A35))</f>
        <v>109.77120000000002</v>
      </c>
      <c r="I35" s="100">
        <f t="shared" si="4"/>
        <v>88.171199999999999</v>
      </c>
      <c r="J35" s="41">
        <f t="shared" si="5"/>
        <v>85.809366868943243</v>
      </c>
      <c r="K35" s="40"/>
      <c r="L35" s="40"/>
    </row>
    <row r="36" spans="1:12" s="38" customFormat="1" ht="7.5" customHeight="1"/>
    <row r="37" spans="1:12" s="39" customFormat="1">
      <c r="A37" s="39" t="s">
        <v>19</v>
      </c>
      <c r="B37" s="39" t="s">
        <v>94</v>
      </c>
      <c r="C37" s="39" t="s">
        <v>93</v>
      </c>
      <c r="D37" s="39" t="s">
        <v>24</v>
      </c>
      <c r="E37" s="39" t="s">
        <v>99</v>
      </c>
      <c r="F37" s="39" t="s">
        <v>100</v>
      </c>
    </row>
    <row r="38" spans="1:12" s="39" customFormat="1">
      <c r="A38" s="40">
        <f>B4</f>
        <v>0</v>
      </c>
      <c r="B38" s="43">
        <f>$D$17</f>
        <v>85</v>
      </c>
      <c r="C38" s="44">
        <f>$B$10+($B$15*-(25-A38))</f>
        <v>42.784500000000001</v>
      </c>
      <c r="D38" s="45">
        <f>$D$18</f>
        <v>48</v>
      </c>
      <c r="E38" s="44">
        <f>IF((((C38*F28)/D38)*$D$19)&gt;$D$17,$D$17,(((C38*F28)/D38)*$D$19))</f>
        <v>85</v>
      </c>
    </row>
    <row r="39" spans="1:12" s="39" customFormat="1">
      <c r="A39" s="39">
        <f>A38+5</f>
        <v>5</v>
      </c>
      <c r="B39" s="43">
        <f t="shared" ref="B39:B45" si="6">$D$17</f>
        <v>85</v>
      </c>
      <c r="C39" s="44">
        <f t="shared" ref="C39:C45" si="7">$B$10+($B$15*-(25-A39))</f>
        <v>42.903600000000004</v>
      </c>
      <c r="D39" s="45">
        <f t="shared" ref="D39:D45" si="8">$D$18</f>
        <v>48</v>
      </c>
      <c r="E39" s="44">
        <f>IF((((C39*F29)/D39)*$D$19)&gt;$D$17,$D$17,(((C39*F29)/D39)*$D$19))</f>
        <v>85</v>
      </c>
    </row>
    <row r="40" spans="1:12" s="39" customFormat="1">
      <c r="A40" s="39">
        <f>A39+5</f>
        <v>10</v>
      </c>
      <c r="B40" s="43">
        <f t="shared" si="6"/>
        <v>85</v>
      </c>
      <c r="C40" s="44">
        <f t="shared" si="7"/>
        <v>43.0227</v>
      </c>
      <c r="D40" s="45">
        <f t="shared" si="8"/>
        <v>48</v>
      </c>
      <c r="E40" s="44">
        <f>IF((((C40*F30)/D40)*$D$19)&gt;$D$17,$D$17,(((C40*F30)/D40)*$D$19))</f>
        <v>85</v>
      </c>
    </row>
    <row r="41" spans="1:12" s="39" customFormat="1">
      <c r="A41" s="39">
        <f>A40+5</f>
        <v>15</v>
      </c>
      <c r="B41" s="43">
        <f t="shared" si="6"/>
        <v>85</v>
      </c>
      <c r="C41" s="44">
        <f>$B$10+($B$15*-(25-A41))</f>
        <v>43.141800000000003</v>
      </c>
      <c r="D41" s="45">
        <f t="shared" si="8"/>
        <v>48</v>
      </c>
      <c r="E41" s="44">
        <f>IF((((C41*F31)/D41)*$D$19)&gt;$D$17,$D$17,(((C41*F31)/D41)*$D$19))</f>
        <v>85</v>
      </c>
    </row>
    <row r="42" spans="1:12" s="39" customFormat="1">
      <c r="A42" s="39">
        <f>A43-5</f>
        <v>55</v>
      </c>
      <c r="B42" s="43">
        <f t="shared" si="6"/>
        <v>85</v>
      </c>
      <c r="C42" s="44">
        <f t="shared" si="7"/>
        <v>44.0946</v>
      </c>
      <c r="D42" s="45">
        <f t="shared" si="8"/>
        <v>48</v>
      </c>
      <c r="F42" s="44">
        <f>IF(((C42*I32)/D42*$D$19)&gt;$D$17,$D$17,((C42*I32)/D42*$D$19))</f>
        <v>84.892467230999998</v>
      </c>
      <c r="G42" s="44"/>
    </row>
    <row r="43" spans="1:12" s="39" customFormat="1">
      <c r="A43" s="39">
        <f>A44-5</f>
        <v>60</v>
      </c>
      <c r="B43" s="43">
        <f t="shared" si="6"/>
        <v>85</v>
      </c>
      <c r="C43" s="44">
        <f t="shared" si="7"/>
        <v>44.213700000000003</v>
      </c>
      <c r="D43" s="45">
        <f t="shared" si="8"/>
        <v>48</v>
      </c>
      <c r="F43" s="44">
        <f>IF(((C43*I33)/D43*$D$19)&gt;$D$17,$D$17,((C43*I33)/D43*$D$19))</f>
        <v>83.143089110249988</v>
      </c>
      <c r="G43" s="44"/>
    </row>
    <row r="44" spans="1:12" s="39" customFormat="1">
      <c r="A44" s="39">
        <f>A45-5</f>
        <v>65</v>
      </c>
      <c r="B44" s="43">
        <f t="shared" si="6"/>
        <v>85</v>
      </c>
      <c r="C44" s="44">
        <f t="shared" si="7"/>
        <v>44.332800000000006</v>
      </c>
      <c r="D44" s="45">
        <f t="shared" si="8"/>
        <v>48</v>
      </c>
      <c r="F44" s="44">
        <f>IF(((C44*I34)/D44*$D$19)&gt;$D$17,$D$17,((C44*I34)/D44*$D$19))</f>
        <v>81.383050944000004</v>
      </c>
      <c r="G44" s="44"/>
    </row>
    <row r="45" spans="1:12" s="39" customFormat="1">
      <c r="A45" s="40">
        <f>B5</f>
        <v>70</v>
      </c>
      <c r="B45" s="43">
        <f t="shared" si="6"/>
        <v>85</v>
      </c>
      <c r="C45" s="44">
        <f t="shared" si="7"/>
        <v>44.451900000000002</v>
      </c>
      <c r="D45" s="45">
        <f t="shared" si="8"/>
        <v>48</v>
      </c>
      <c r="F45" s="44">
        <f>IF(((C45*I35)/D45*$D$19)&gt;$D$17,$D$17,((C45*I35)/D45*$D$19))</f>
        <v>79.612352732250002</v>
      </c>
      <c r="G45" s="44"/>
    </row>
    <row r="46" spans="1:12" s="3" customFormat="1"/>
  </sheetData>
  <sheetProtection sheet="1" objects="1" scenarios="1" selectLockedCells="1" selectUnlockedCells="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sheetPr codeName="Sheet5"/>
  <dimension ref="A1:F39"/>
  <sheetViews>
    <sheetView workbookViewId="0">
      <selection activeCell="B40" sqref="B40"/>
    </sheetView>
  </sheetViews>
  <sheetFormatPr defaultRowHeight="12"/>
  <cols>
    <col min="1" max="1" width="4.7109375" style="112" bestFit="1" customWidth="1"/>
    <col min="2" max="2" width="51.5703125" style="114" bestFit="1" customWidth="1"/>
    <col min="3" max="3" width="51.42578125" style="114" bestFit="1" customWidth="1"/>
    <col min="4" max="4" width="61.85546875" style="114" bestFit="1" customWidth="1"/>
    <col min="5" max="5" width="49" style="114" bestFit="1" customWidth="1"/>
    <col min="6" max="6" width="55" style="114" bestFit="1" customWidth="1"/>
    <col min="7" max="16384" width="9.140625" style="114"/>
  </cols>
  <sheetData>
    <row r="1" spans="1:6">
      <c r="B1" s="113" t="str">
        <f>IF(Form!H3=5,"V"," ")</f>
        <v>V</v>
      </c>
      <c r="C1" s="113" t="str">
        <f>IF(Form!H3=4,"V"," ")</f>
        <v xml:space="preserve"> </v>
      </c>
      <c r="D1" s="113" t="str">
        <f>IF(Form!H3=3,"V"," ")</f>
        <v xml:space="preserve"> </v>
      </c>
      <c r="E1" s="113" t="str">
        <f>IF(Form!H3=2,"V"," ")</f>
        <v xml:space="preserve"> </v>
      </c>
      <c r="F1" s="113" t="str">
        <f>IF(Form!H3=1,"V"," ")</f>
        <v xml:space="preserve"> </v>
      </c>
    </row>
    <row r="2" spans="1:6">
      <c r="A2" s="115" t="s">
        <v>102</v>
      </c>
      <c r="B2" s="115" t="s">
        <v>101</v>
      </c>
      <c r="C2" s="115" t="s">
        <v>103</v>
      </c>
      <c r="D2" s="115" t="s">
        <v>105</v>
      </c>
      <c r="E2" s="115" t="s">
        <v>106</v>
      </c>
      <c r="F2" s="115" t="s">
        <v>108</v>
      </c>
    </row>
    <row r="3" spans="1:6" ht="7.5" customHeight="1"/>
    <row r="4" spans="1:6">
      <c r="A4" s="116">
        <v>1</v>
      </c>
      <c r="B4" s="117" t="s">
        <v>85</v>
      </c>
      <c r="C4" s="117" t="s">
        <v>104</v>
      </c>
      <c r="D4" s="117" t="s">
        <v>156</v>
      </c>
      <c r="E4" s="117" t="s">
        <v>107</v>
      </c>
      <c r="F4" s="117" t="s">
        <v>212</v>
      </c>
    </row>
    <row r="5" spans="1:6">
      <c r="A5" s="116">
        <v>2</v>
      </c>
      <c r="B5" s="117" t="s">
        <v>58</v>
      </c>
      <c r="C5" s="117" t="s">
        <v>110</v>
      </c>
      <c r="D5" s="117" t="s">
        <v>112</v>
      </c>
      <c r="E5" s="117" t="s">
        <v>111</v>
      </c>
      <c r="F5" s="117" t="s">
        <v>112</v>
      </c>
    </row>
    <row r="6" spans="1:6">
      <c r="A6" s="116">
        <v>3</v>
      </c>
      <c r="B6" s="117" t="s">
        <v>59</v>
      </c>
      <c r="C6" s="117" t="s">
        <v>59</v>
      </c>
      <c r="D6" s="117" t="s">
        <v>157</v>
      </c>
      <c r="E6" s="117" t="s">
        <v>59</v>
      </c>
      <c r="F6" s="117" t="s">
        <v>203</v>
      </c>
    </row>
    <row r="7" spans="1:6">
      <c r="A7" s="116">
        <v>4</v>
      </c>
      <c r="B7" s="117" t="s">
        <v>25</v>
      </c>
      <c r="C7" s="117" t="s">
        <v>113</v>
      </c>
      <c r="D7" s="117" t="s">
        <v>158</v>
      </c>
      <c r="E7" s="117" t="s">
        <v>129</v>
      </c>
      <c r="F7" s="117" t="s">
        <v>116</v>
      </c>
    </row>
    <row r="8" spans="1:6">
      <c r="A8" s="116">
        <v>5</v>
      </c>
      <c r="B8" s="117" t="s">
        <v>114</v>
      </c>
      <c r="C8" s="117" t="s">
        <v>114</v>
      </c>
      <c r="D8" s="117" t="s">
        <v>114</v>
      </c>
      <c r="E8" s="117" t="s">
        <v>114</v>
      </c>
      <c r="F8" s="117" t="s">
        <v>115</v>
      </c>
    </row>
    <row r="9" spans="1:6">
      <c r="A9" s="116">
        <v>6</v>
      </c>
      <c r="B9" s="117" t="s">
        <v>218</v>
      </c>
      <c r="C9" s="117" t="s">
        <v>217</v>
      </c>
      <c r="D9" s="117" t="s">
        <v>159</v>
      </c>
      <c r="E9" s="117" t="s">
        <v>216</v>
      </c>
      <c r="F9" s="117" t="s">
        <v>213</v>
      </c>
    </row>
    <row r="10" spans="1:6">
      <c r="A10" s="116">
        <v>7</v>
      </c>
      <c r="B10" s="117" t="s">
        <v>13</v>
      </c>
      <c r="C10" s="117" t="s">
        <v>13</v>
      </c>
      <c r="D10" s="117" t="s">
        <v>13</v>
      </c>
      <c r="E10" s="117" t="s">
        <v>13</v>
      </c>
      <c r="F10" s="117" t="s">
        <v>13</v>
      </c>
    </row>
    <row r="11" spans="1:6">
      <c r="A11" s="116">
        <v>8</v>
      </c>
      <c r="B11" s="117" t="s">
        <v>14</v>
      </c>
      <c r="C11" s="117" t="s">
        <v>117</v>
      </c>
      <c r="D11" s="117" t="s">
        <v>117</v>
      </c>
      <c r="E11" s="117" t="s">
        <v>117</v>
      </c>
      <c r="F11" s="117" t="s">
        <v>117</v>
      </c>
    </row>
    <row r="12" spans="1:6">
      <c r="A12" s="116">
        <v>9</v>
      </c>
      <c r="B12" s="117" t="s">
        <v>98</v>
      </c>
      <c r="C12" s="117" t="s">
        <v>118</v>
      </c>
      <c r="D12" s="117" t="s">
        <v>160</v>
      </c>
      <c r="E12" s="117" t="s">
        <v>130</v>
      </c>
      <c r="F12" s="117" t="s">
        <v>214</v>
      </c>
    </row>
    <row r="13" spans="1:6">
      <c r="A13" s="116">
        <v>10</v>
      </c>
      <c r="B13" s="117" t="s">
        <v>60</v>
      </c>
      <c r="C13" s="117" t="s">
        <v>119</v>
      </c>
      <c r="D13" s="117" t="s">
        <v>161</v>
      </c>
      <c r="E13" s="117" t="s">
        <v>131</v>
      </c>
      <c r="F13" s="117" t="s">
        <v>184</v>
      </c>
    </row>
    <row r="14" spans="1:6">
      <c r="A14" s="116">
        <v>11</v>
      </c>
      <c r="B14" s="117" t="s">
        <v>31</v>
      </c>
      <c r="C14" s="117" t="s">
        <v>120</v>
      </c>
      <c r="D14" s="117" t="s">
        <v>162</v>
      </c>
      <c r="E14" s="117" t="s">
        <v>132</v>
      </c>
      <c r="F14" s="117" t="s">
        <v>185</v>
      </c>
    </row>
    <row r="15" spans="1:6">
      <c r="A15" s="116">
        <v>12</v>
      </c>
      <c r="B15" s="117" t="s">
        <v>55</v>
      </c>
      <c r="C15" s="117" t="s">
        <v>121</v>
      </c>
      <c r="D15" s="117" t="s">
        <v>163</v>
      </c>
      <c r="E15" s="117" t="s">
        <v>138</v>
      </c>
      <c r="F15" s="117" t="s">
        <v>186</v>
      </c>
    </row>
    <row r="16" spans="1:6">
      <c r="A16" s="116">
        <v>13</v>
      </c>
      <c r="B16" s="117" t="s">
        <v>46</v>
      </c>
      <c r="C16" s="117" t="s">
        <v>122</v>
      </c>
      <c r="D16" s="117" t="s">
        <v>164</v>
      </c>
      <c r="E16" s="117" t="s">
        <v>133</v>
      </c>
      <c r="F16" s="117" t="s">
        <v>188</v>
      </c>
    </row>
    <row r="17" spans="1:6">
      <c r="A17" s="116">
        <v>14</v>
      </c>
      <c r="B17" s="117" t="s">
        <v>56</v>
      </c>
      <c r="C17" s="117" t="s">
        <v>123</v>
      </c>
      <c r="D17" s="117" t="s">
        <v>165</v>
      </c>
      <c r="E17" s="117" t="s">
        <v>139</v>
      </c>
      <c r="F17" s="117" t="s">
        <v>187</v>
      </c>
    </row>
    <row r="18" spans="1:6">
      <c r="A18" s="116">
        <v>15</v>
      </c>
      <c r="B18" s="117" t="s">
        <v>86</v>
      </c>
      <c r="C18" s="117" t="s">
        <v>124</v>
      </c>
      <c r="D18" s="117" t="s">
        <v>166</v>
      </c>
      <c r="E18" s="117" t="s">
        <v>134</v>
      </c>
      <c r="F18" s="117" t="s">
        <v>189</v>
      </c>
    </row>
    <row r="19" spans="1:6">
      <c r="A19" s="116">
        <v>16</v>
      </c>
      <c r="B19" s="117" t="s">
        <v>96</v>
      </c>
      <c r="C19" s="117" t="s">
        <v>125</v>
      </c>
      <c r="D19" s="117" t="s">
        <v>167</v>
      </c>
      <c r="E19" s="117" t="s">
        <v>135</v>
      </c>
      <c r="F19" s="117" t="s">
        <v>190</v>
      </c>
    </row>
    <row r="20" spans="1:6">
      <c r="A20" s="116">
        <v>17</v>
      </c>
      <c r="B20" s="117" t="s">
        <v>97</v>
      </c>
      <c r="C20" s="117" t="s">
        <v>126</v>
      </c>
      <c r="D20" s="117" t="s">
        <v>168</v>
      </c>
      <c r="E20" s="117" t="s">
        <v>136</v>
      </c>
      <c r="F20" s="117" t="s">
        <v>191</v>
      </c>
    </row>
    <row r="21" spans="1:6">
      <c r="A21" s="116">
        <v>18</v>
      </c>
      <c r="B21" s="117" t="s">
        <v>63</v>
      </c>
      <c r="C21" s="117" t="s">
        <v>127</v>
      </c>
      <c r="D21" s="117" t="s">
        <v>169</v>
      </c>
      <c r="E21" s="117" t="s">
        <v>137</v>
      </c>
      <c r="F21" s="117" t="s">
        <v>215</v>
      </c>
    </row>
    <row r="22" spans="1:6">
      <c r="A22" s="116">
        <v>19</v>
      </c>
      <c r="B22" s="117" t="s">
        <v>72</v>
      </c>
      <c r="C22" s="117" t="s">
        <v>128</v>
      </c>
      <c r="D22" s="117" t="s">
        <v>170</v>
      </c>
      <c r="E22" s="117" t="s">
        <v>192</v>
      </c>
      <c r="F22" s="117" t="s">
        <v>204</v>
      </c>
    </row>
    <row r="23" spans="1:6">
      <c r="A23" s="116">
        <v>20</v>
      </c>
      <c r="B23" s="117" t="s">
        <v>276</v>
      </c>
      <c r="C23" s="117" t="s">
        <v>199</v>
      </c>
      <c r="D23" s="117" t="s">
        <v>171</v>
      </c>
      <c r="E23" s="117" t="s">
        <v>193</v>
      </c>
      <c r="F23" s="117" t="s">
        <v>205</v>
      </c>
    </row>
    <row r="24" spans="1:6">
      <c r="A24" s="116">
        <v>21</v>
      </c>
      <c r="B24" s="117" t="s">
        <v>277</v>
      </c>
      <c r="C24" s="117" t="s">
        <v>200</v>
      </c>
      <c r="D24" s="117" t="s">
        <v>172</v>
      </c>
      <c r="E24" s="117" t="s">
        <v>194</v>
      </c>
      <c r="F24" s="117" t="s">
        <v>206</v>
      </c>
    </row>
    <row r="25" spans="1:6">
      <c r="A25" s="116">
        <v>22</v>
      </c>
      <c r="B25" s="117" t="s">
        <v>74</v>
      </c>
      <c r="C25" s="117" t="s">
        <v>141</v>
      </c>
      <c r="D25" s="117" t="s">
        <v>173</v>
      </c>
      <c r="E25" s="117" t="s">
        <v>195</v>
      </c>
      <c r="F25" s="117" t="s">
        <v>196</v>
      </c>
    </row>
    <row r="26" spans="1:6">
      <c r="A26" s="116">
        <v>23</v>
      </c>
      <c r="B26" s="117" t="s">
        <v>73</v>
      </c>
      <c r="C26" s="117" t="s">
        <v>142</v>
      </c>
      <c r="D26" s="117" t="s">
        <v>174</v>
      </c>
      <c r="E26" s="117" t="s">
        <v>148</v>
      </c>
      <c r="F26" s="117" t="s">
        <v>207</v>
      </c>
    </row>
    <row r="27" spans="1:6">
      <c r="A27" s="116">
        <v>24</v>
      </c>
      <c r="B27" s="117" t="s">
        <v>61</v>
      </c>
      <c r="C27" s="117" t="s">
        <v>143</v>
      </c>
      <c r="D27" s="117" t="s">
        <v>175</v>
      </c>
      <c r="E27" s="117" t="s">
        <v>149</v>
      </c>
      <c r="F27" s="117" t="s">
        <v>208</v>
      </c>
    </row>
    <row r="28" spans="1:6">
      <c r="A28" s="116">
        <v>25</v>
      </c>
      <c r="B28" s="117" t="s">
        <v>83</v>
      </c>
      <c r="C28" s="117" t="s">
        <v>144</v>
      </c>
      <c r="D28" s="117" t="s">
        <v>176</v>
      </c>
      <c r="E28" s="117" t="s">
        <v>150</v>
      </c>
      <c r="F28" s="117" t="s">
        <v>209</v>
      </c>
    </row>
    <row r="29" spans="1:6">
      <c r="A29" s="116">
        <v>26</v>
      </c>
      <c r="B29" s="117" t="s">
        <v>84</v>
      </c>
      <c r="C29" s="117" t="s">
        <v>145</v>
      </c>
      <c r="D29" s="117" t="s">
        <v>177</v>
      </c>
      <c r="E29" s="117" t="s">
        <v>151</v>
      </c>
      <c r="F29" s="117" t="s">
        <v>210</v>
      </c>
    </row>
    <row r="30" spans="1:6">
      <c r="A30" s="116">
        <v>27</v>
      </c>
      <c r="B30" s="117" t="s">
        <v>201</v>
      </c>
      <c r="C30" s="117" t="s">
        <v>182</v>
      </c>
      <c r="D30" s="117" t="s">
        <v>178</v>
      </c>
      <c r="E30" s="117" t="s">
        <v>152</v>
      </c>
      <c r="F30" s="117" t="s">
        <v>197</v>
      </c>
    </row>
    <row r="31" spans="1:6">
      <c r="A31" s="116">
        <v>28</v>
      </c>
      <c r="B31" s="117" t="s">
        <v>202</v>
      </c>
      <c r="C31" s="117" t="s">
        <v>183</v>
      </c>
      <c r="D31" s="117" t="s">
        <v>179</v>
      </c>
      <c r="E31" s="117" t="s">
        <v>153</v>
      </c>
      <c r="F31" s="117" t="s">
        <v>198</v>
      </c>
    </row>
    <row r="32" spans="1:6">
      <c r="A32" s="116">
        <v>29</v>
      </c>
      <c r="B32" s="117" t="s">
        <v>44</v>
      </c>
      <c r="C32" s="117" t="s">
        <v>146</v>
      </c>
      <c r="D32" s="117" t="s">
        <v>180</v>
      </c>
      <c r="E32" s="117" t="s">
        <v>154</v>
      </c>
      <c r="F32" s="117" t="s">
        <v>219</v>
      </c>
    </row>
    <row r="33" spans="1:6">
      <c r="A33" s="116">
        <v>30</v>
      </c>
      <c r="B33" s="117" t="s">
        <v>45</v>
      </c>
      <c r="C33" s="117" t="s">
        <v>147</v>
      </c>
      <c r="D33" s="117" t="s">
        <v>181</v>
      </c>
      <c r="E33" s="117" t="s">
        <v>155</v>
      </c>
      <c r="F33" s="117" t="s">
        <v>211</v>
      </c>
    </row>
    <row r="34" spans="1:6">
      <c r="A34" s="116">
        <v>31</v>
      </c>
      <c r="B34" s="117" t="s">
        <v>241</v>
      </c>
      <c r="C34" s="117" t="s">
        <v>251</v>
      </c>
      <c r="D34" s="118" t="s">
        <v>259</v>
      </c>
      <c r="E34" s="117" t="s">
        <v>250</v>
      </c>
      <c r="F34" s="117" t="s">
        <v>257</v>
      </c>
    </row>
    <row r="35" spans="1:6">
      <c r="A35" s="116">
        <v>32</v>
      </c>
      <c r="B35" s="117" t="s">
        <v>263</v>
      </c>
      <c r="C35" s="117" t="s">
        <v>264</v>
      </c>
      <c r="D35" s="118" t="s">
        <v>268</v>
      </c>
      <c r="E35" s="117" t="s">
        <v>265</v>
      </c>
      <c r="F35" s="117" t="s">
        <v>266</v>
      </c>
    </row>
    <row r="36" spans="1:6">
      <c r="A36" s="119">
        <v>33</v>
      </c>
      <c r="B36" s="118" t="s">
        <v>242</v>
      </c>
      <c r="C36" s="118" t="s">
        <v>246</v>
      </c>
      <c r="D36" s="118" t="s">
        <v>260</v>
      </c>
      <c r="E36" s="118" t="s">
        <v>252</v>
      </c>
      <c r="F36" s="118" t="s">
        <v>267</v>
      </c>
    </row>
    <row r="37" spans="1:6">
      <c r="A37" s="119">
        <v>34</v>
      </c>
      <c r="B37" s="118" t="s">
        <v>245</v>
      </c>
      <c r="C37" s="118" t="s">
        <v>247</v>
      </c>
      <c r="D37" s="118" t="s">
        <v>261</v>
      </c>
      <c r="E37" s="118" t="s">
        <v>253</v>
      </c>
      <c r="F37" s="118" t="s">
        <v>258</v>
      </c>
    </row>
    <row r="38" spans="1:6">
      <c r="A38" s="119">
        <v>35</v>
      </c>
      <c r="B38" s="118" t="s">
        <v>243</v>
      </c>
      <c r="C38" s="118" t="s">
        <v>248</v>
      </c>
      <c r="D38" s="118" t="s">
        <v>262</v>
      </c>
      <c r="E38" s="118" t="s">
        <v>248</v>
      </c>
      <c r="F38" s="118" t="s">
        <v>255</v>
      </c>
    </row>
    <row r="39" spans="1:6">
      <c r="A39" s="119">
        <v>36</v>
      </c>
      <c r="B39" s="118" t="s">
        <v>244</v>
      </c>
      <c r="C39" s="118" t="s">
        <v>249</v>
      </c>
      <c r="D39" s="118" t="s">
        <v>244</v>
      </c>
      <c r="E39" s="118" t="s">
        <v>254</v>
      </c>
      <c r="F39" s="118" t="s">
        <v>256</v>
      </c>
    </row>
  </sheetData>
  <sheetProtection sheet="1" objects="1" scenarios="1" selectLockedCells="1" selectUnlockedCells="1"/>
  <conditionalFormatting sqref="B1:F1">
    <cfRule type="containsText" dxfId="1" priority="5" operator="containsText" text="V">
      <formula>NOT(ISERROR(SEARCH("V",B1)))</formula>
    </cfRule>
  </conditionalFormatting>
  <conditionalFormatting sqref="E6">
    <cfRule type="containsText" dxfId="0" priority="2" operator="containsText" text="V">
      <formula>NOT(ISERROR(SEARCH("V",E6)))</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sheetPr codeName="Sheet6"/>
  <dimension ref="A1:B11"/>
  <sheetViews>
    <sheetView workbookViewId="0">
      <selection activeCell="B4" sqref="B4"/>
    </sheetView>
  </sheetViews>
  <sheetFormatPr defaultRowHeight="15"/>
  <cols>
    <col min="1" max="1" width="9.140625" style="61"/>
    <col min="2" max="16384" width="9.140625" style="52"/>
  </cols>
  <sheetData>
    <row r="1" spans="1:2" s="1" customFormat="1">
      <c r="A1" s="70" t="s">
        <v>51</v>
      </c>
    </row>
    <row r="2" spans="1:2" ht="6" customHeight="1"/>
    <row r="3" spans="1:2" s="93" customFormat="1" ht="15" customHeight="1">
      <c r="A3" s="71" t="s">
        <v>236</v>
      </c>
      <c r="B3" s="95" t="s">
        <v>272</v>
      </c>
    </row>
    <row r="4" spans="1:2" s="93" customFormat="1" ht="15" customHeight="1">
      <c r="A4" s="96" t="s">
        <v>228</v>
      </c>
      <c r="B4" s="95" t="s">
        <v>231</v>
      </c>
    </row>
    <row r="5" spans="1:2" s="3" customFormat="1">
      <c r="A5" s="96" t="s">
        <v>109</v>
      </c>
      <c r="B5" s="95" t="s">
        <v>230</v>
      </c>
    </row>
    <row r="6" spans="1:2" s="3" customFormat="1">
      <c r="A6" s="71" t="s">
        <v>67</v>
      </c>
      <c r="B6" s="69" t="s">
        <v>229</v>
      </c>
    </row>
    <row r="7" spans="1:2" s="3" customFormat="1">
      <c r="A7" s="71" t="s">
        <v>68</v>
      </c>
      <c r="B7" s="69" t="s">
        <v>65</v>
      </c>
    </row>
    <row r="8" spans="1:2" s="3" customFormat="1">
      <c r="A8" s="71" t="s">
        <v>69</v>
      </c>
      <c r="B8" s="69" t="s">
        <v>64</v>
      </c>
    </row>
    <row r="9" spans="1:2" s="3" customFormat="1">
      <c r="A9" s="71" t="s">
        <v>70</v>
      </c>
      <c r="B9" s="69" t="s">
        <v>52</v>
      </c>
    </row>
    <row r="10" spans="1:2" s="3" customFormat="1">
      <c r="A10" s="72"/>
      <c r="B10" s="69" t="s">
        <v>53</v>
      </c>
    </row>
    <row r="11" spans="1:2" s="3" customFormat="1">
      <c r="A11" s="73" t="s">
        <v>71</v>
      </c>
      <c r="B11" s="69" t="s">
        <v>54</v>
      </c>
    </row>
  </sheetData>
  <sheetProtection sheet="1" objects="1" scenarios="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Form</vt:lpstr>
      <vt:lpstr>Modules</vt:lpstr>
      <vt:lpstr>Regulator</vt:lpstr>
      <vt:lpstr>Calculation table</vt:lpstr>
      <vt:lpstr>Language</vt:lpstr>
      <vt:lpstr>Version</vt:lpstr>
      <vt:lpstr>Form!Print_Area</vt:lpstr>
    </vt:vector>
  </TitlesOfParts>
  <Company>Victron Energy BV</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 MPPT Calc</dc:title>
  <dc:subject>Calculation tool</dc:subject>
  <dc:creator>B Hopman</dc:creator>
  <dc:description>Version 1.5</dc:description>
  <cp:lastModifiedBy>B Hopman</cp:lastModifiedBy>
  <cp:revision>1</cp:revision>
  <cp:lastPrinted>2014-04-30T13:11:05Z</cp:lastPrinted>
  <dcterms:created xsi:type="dcterms:W3CDTF">2014-03-13T06:46:09Z</dcterms:created>
  <dcterms:modified xsi:type="dcterms:W3CDTF">2014-06-19T04:53:25Z</dcterms:modified>
  <cp:version>1.5</cp:version>
</cp:coreProperties>
</file>