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defaultThemeVersion="164011"/>
  <bookViews>
    <workbookView xWindow="0" yWindow="0" windowWidth="38400" windowHeight="17100" tabRatio="746" firstSheet="1" activeTab="1"/>
  </bookViews>
  <sheets>
    <sheet name="Свод" sheetId="24" state="hidden" r:id="rId1"/>
    <sheet name="ПРАЙС ЮСТ" sheetId="59" r:id="rId2"/>
    <sheet name="Мегафон" sheetId="3" state="hidden" r:id="rId3"/>
    <sheet name="САФМАР" sheetId="14" state="hidden" r:id="rId4"/>
    <sheet name="№А4 (ES)" sheetId="11" state="hidden" r:id="rId5"/>
    <sheet name="№А6 (LiON)" sheetId="10" state="hidden" r:id="rId6"/>
    <sheet name="№А6 ES3.0 (LiON)" sheetId="12" state="hidden" r:id="rId7"/>
    <sheet name="ES 5.0 (LiON) " sheetId="13" state="hidden" r:id="rId8"/>
    <sheet name="Дима 1" sheetId="15" state="hidden" r:id="rId9"/>
    <sheet name="Дима 2" sheetId="16" state="hidden" r:id="rId10"/>
    <sheet name="Комплекты - Д4" sheetId="72" state="hidden" r:id="rId11"/>
    <sheet name="Стоимость упаковки" sheetId="56" state="hidden" r:id="rId12"/>
    <sheet name="Себестоимость оборудования" sheetId="27" state="hidden" r:id="rId13"/>
  </sheets>
  <definedNames>
    <definedName name="_xlnm._FilterDatabase" localSheetId="1" hidden="1">'ПРАЙС ЮСТ'!$B$1:$B$172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1" i="27" l="1"/>
  <c r="K130" i="27"/>
  <c r="K127" i="27"/>
  <c r="P78" i="27" s="1"/>
  <c r="O78" i="27" s="1"/>
  <c r="N98" i="27" s="1"/>
  <c r="K118" i="27"/>
  <c r="P73" i="27" s="1"/>
  <c r="K117" i="27"/>
  <c r="K116" i="27"/>
  <c r="L108" i="27"/>
  <c r="K108" i="27"/>
  <c r="H108" i="27"/>
  <c r="N108" i="27" s="1"/>
  <c r="K107" i="27"/>
  <c r="L107" i="27" s="1"/>
  <c r="H107" i="27"/>
  <c r="N107" i="27" s="1"/>
  <c r="L106" i="27"/>
  <c r="K106" i="27"/>
  <c r="H106" i="27"/>
  <c r="N106" i="27" s="1"/>
  <c r="L105" i="27"/>
  <c r="K105" i="27"/>
  <c r="H105" i="27"/>
  <c r="N105" i="27" s="1"/>
  <c r="L104" i="27"/>
  <c r="K104" i="27"/>
  <c r="H104" i="27"/>
  <c r="N104" i="27" s="1"/>
  <c r="K103" i="27"/>
  <c r="L103" i="27" s="1"/>
  <c r="H103" i="27"/>
  <c r="N103" i="27" s="1"/>
  <c r="L102" i="27"/>
  <c r="K102" i="27"/>
  <c r="H102" i="27"/>
  <c r="N102" i="27" s="1"/>
  <c r="L101" i="27"/>
  <c r="K101" i="27"/>
  <c r="H101" i="27"/>
  <c r="N101" i="27" s="1"/>
  <c r="L100" i="27"/>
  <c r="K100" i="27"/>
  <c r="H100" i="27"/>
  <c r="N100" i="27" s="1"/>
  <c r="K99" i="27"/>
  <c r="L99" i="27" s="1"/>
  <c r="H99" i="27"/>
  <c r="N99" i="27" s="1"/>
  <c r="K98" i="27"/>
  <c r="L98" i="27" s="1"/>
  <c r="H98" i="27"/>
  <c r="L97" i="27"/>
  <c r="K97" i="27"/>
  <c r="H97" i="27"/>
  <c r="K96" i="27"/>
  <c r="L96" i="27" s="1"/>
  <c r="H96" i="27"/>
  <c r="L95" i="27"/>
  <c r="K95" i="27"/>
  <c r="H95" i="27"/>
  <c r="K94" i="27"/>
  <c r="L94" i="27" s="1"/>
  <c r="H94" i="27"/>
  <c r="K93" i="27"/>
  <c r="L93" i="27" s="1"/>
  <c r="H93" i="27"/>
  <c r="L92" i="27"/>
  <c r="K92" i="27"/>
  <c r="H92" i="27"/>
  <c r="L91" i="27"/>
  <c r="K91" i="27"/>
  <c r="H91" i="27"/>
  <c r="K90" i="27"/>
  <c r="L90" i="27" s="1"/>
  <c r="H90" i="27"/>
  <c r="L89" i="27"/>
  <c r="K89" i="27"/>
  <c r="H89" i="27"/>
  <c r="L88" i="27"/>
  <c r="K88" i="27"/>
  <c r="H88" i="27"/>
  <c r="L87" i="27"/>
  <c r="K87" i="27"/>
  <c r="H87" i="27"/>
  <c r="K86" i="27"/>
  <c r="L86" i="27" s="1"/>
  <c r="H86" i="27"/>
  <c r="L85" i="27"/>
  <c r="K85" i="27"/>
  <c r="H85" i="27"/>
  <c r="L84" i="27"/>
  <c r="K84" i="27"/>
  <c r="H84" i="27"/>
  <c r="K83" i="27"/>
  <c r="L83" i="27" s="1"/>
  <c r="H83" i="27"/>
  <c r="K82" i="27"/>
  <c r="L82" i="27" s="1"/>
  <c r="H82" i="27"/>
  <c r="L81" i="27"/>
  <c r="K81" i="27"/>
  <c r="H81" i="27"/>
  <c r="K80" i="27"/>
  <c r="L80" i="27" s="1"/>
  <c r="H80" i="27"/>
  <c r="L79" i="27"/>
  <c r="K79" i="27"/>
  <c r="H79" i="27"/>
  <c r="M78" i="27"/>
  <c r="K78" i="27"/>
  <c r="L78" i="27" s="1"/>
  <c r="H78" i="27"/>
  <c r="Q77" i="27"/>
  <c r="K77" i="27"/>
  <c r="L77" i="27" s="1"/>
  <c r="H77" i="27"/>
  <c r="Q76" i="27"/>
  <c r="K76" i="27"/>
  <c r="L76" i="27" s="1"/>
  <c r="H76" i="27"/>
  <c r="Q75" i="27"/>
  <c r="K75" i="27"/>
  <c r="L75" i="27" s="1"/>
  <c r="H75" i="27"/>
  <c r="Q74" i="27"/>
  <c r="K74" i="27"/>
  <c r="L74" i="27" s="1"/>
  <c r="H74" i="27"/>
  <c r="Q73" i="27"/>
  <c r="M73" i="27"/>
  <c r="L73" i="27"/>
  <c r="K73" i="27"/>
  <c r="H73" i="27"/>
  <c r="K72" i="27"/>
  <c r="L72" i="27" s="1"/>
  <c r="N72" i="27" s="1"/>
  <c r="H72" i="27"/>
  <c r="L71" i="27"/>
  <c r="N71" i="27" s="1"/>
  <c r="K71" i="27"/>
  <c r="H71" i="27"/>
  <c r="L70" i="27"/>
  <c r="K70" i="27"/>
  <c r="H70" i="27"/>
  <c r="L69" i="27"/>
  <c r="K69" i="27"/>
  <c r="H69" i="27"/>
  <c r="K68" i="27"/>
  <c r="L68" i="27" s="1"/>
  <c r="H68" i="27"/>
  <c r="L67" i="27"/>
  <c r="K67" i="27"/>
  <c r="H67" i="27"/>
  <c r="L66" i="27"/>
  <c r="K66" i="27"/>
  <c r="H66" i="27"/>
  <c r="K65" i="27"/>
  <c r="L65" i="27" s="1"/>
  <c r="H65" i="27"/>
  <c r="K64" i="27"/>
  <c r="L64" i="27" s="1"/>
  <c r="H64" i="27"/>
  <c r="L63" i="27"/>
  <c r="K63" i="27"/>
  <c r="H63" i="27"/>
  <c r="K62" i="27"/>
  <c r="L62" i="27" s="1"/>
  <c r="H62" i="27"/>
  <c r="L61" i="27"/>
  <c r="K61" i="27"/>
  <c r="H61" i="27"/>
  <c r="K60" i="27"/>
  <c r="L60" i="27" s="1"/>
  <c r="H60" i="27"/>
  <c r="K59" i="27"/>
  <c r="L59" i="27" s="1"/>
  <c r="H59" i="27"/>
  <c r="L58" i="27"/>
  <c r="K58" i="27"/>
  <c r="H58" i="27"/>
  <c r="L57" i="27"/>
  <c r="K57" i="27"/>
  <c r="H57" i="27"/>
  <c r="K56" i="27"/>
  <c r="L56" i="27" s="1"/>
  <c r="H56" i="27"/>
  <c r="P55" i="27"/>
  <c r="O55" i="27" s="1"/>
  <c r="N70" i="27" s="1"/>
  <c r="M55" i="27"/>
  <c r="K55" i="27"/>
  <c r="L55" i="27" s="1"/>
  <c r="H55" i="27"/>
  <c r="K54" i="27"/>
  <c r="L54" i="27" s="1"/>
  <c r="H54" i="27"/>
  <c r="K53" i="27"/>
  <c r="L53" i="27" s="1"/>
  <c r="H53" i="27"/>
  <c r="K52" i="27"/>
  <c r="L52" i="27" s="1"/>
  <c r="H52" i="27"/>
  <c r="K51" i="27"/>
  <c r="L51" i="27" s="1"/>
  <c r="H51" i="27"/>
  <c r="P50" i="27"/>
  <c r="O50" i="27" s="1"/>
  <c r="N54" i="27" s="1"/>
  <c r="M50" i="27"/>
  <c r="K50" i="27"/>
  <c r="L50" i="27" s="1"/>
  <c r="H50" i="27"/>
  <c r="K49" i="27"/>
  <c r="L49" i="27" s="1"/>
  <c r="H49" i="27"/>
  <c r="K48" i="27"/>
  <c r="L48" i="27" s="1"/>
  <c r="H48" i="27"/>
  <c r="K47" i="27"/>
  <c r="L47" i="27" s="1"/>
  <c r="H47" i="27"/>
  <c r="P46" i="27"/>
  <c r="O46" i="27" s="1"/>
  <c r="M46" i="27"/>
  <c r="K46" i="27"/>
  <c r="L46" i="27" s="1"/>
  <c r="H46" i="27"/>
  <c r="P14" i="27"/>
  <c r="M14" i="27"/>
  <c r="G101" i="56"/>
  <c r="G100" i="56"/>
  <c r="G99" i="56"/>
  <c r="G98" i="56"/>
  <c r="G97" i="56"/>
  <c r="G96" i="56"/>
  <c r="G95" i="56"/>
  <c r="G94" i="56"/>
  <c r="G90" i="56"/>
  <c r="G89" i="56"/>
  <c r="G88" i="56"/>
  <c r="G87" i="56"/>
  <c r="G86" i="56"/>
  <c r="G85" i="56"/>
  <c r="G84" i="56"/>
  <c r="G83" i="56"/>
  <c r="G80" i="56"/>
  <c r="G79" i="56"/>
  <c r="G78" i="56"/>
  <c r="G77" i="56"/>
  <c r="G76" i="56"/>
  <c r="G75" i="56"/>
  <c r="G74" i="56"/>
  <c r="G71" i="56"/>
  <c r="G70" i="56"/>
  <c r="G69" i="56"/>
  <c r="G68" i="56"/>
  <c r="G67" i="56"/>
  <c r="G66" i="56"/>
  <c r="G65" i="56"/>
  <c r="G62" i="56"/>
  <c r="G61" i="56"/>
  <c r="G60" i="56"/>
  <c r="G59" i="56"/>
  <c r="G58" i="56"/>
  <c r="G57" i="56"/>
  <c r="G56" i="56"/>
  <c r="G53" i="56"/>
  <c r="G52" i="56"/>
  <c r="G51" i="56"/>
  <c r="G50" i="56"/>
  <c r="G49" i="56"/>
  <c r="G48" i="56"/>
  <c r="G47" i="56"/>
  <c r="G44" i="56"/>
  <c r="G43" i="56"/>
  <c r="G42" i="56"/>
  <c r="G41" i="56"/>
  <c r="G40" i="56"/>
  <c r="G39" i="56"/>
  <c r="G38" i="56"/>
  <c r="G35" i="56"/>
  <c r="G34" i="56"/>
  <c r="G33" i="56"/>
  <c r="G32" i="56"/>
  <c r="G31" i="56"/>
  <c r="G30" i="56"/>
  <c r="G29" i="56"/>
  <c r="G26" i="56"/>
  <c r="G25" i="56"/>
  <c r="G24" i="56"/>
  <c r="G23" i="56"/>
  <c r="G22" i="56"/>
  <c r="G21" i="56"/>
  <c r="G20" i="56"/>
  <c r="G17" i="56"/>
  <c r="G16" i="56"/>
  <c r="G15" i="56"/>
  <c r="G14" i="56"/>
  <c r="G13" i="56"/>
  <c r="G12" i="56"/>
  <c r="G11" i="56"/>
  <c r="G8" i="56"/>
  <c r="G7" i="56"/>
  <c r="G6" i="56"/>
  <c r="G5" i="56"/>
  <c r="G4" i="56"/>
  <c r="G3" i="56"/>
  <c r="G2" i="56"/>
  <c r="I102" i="72"/>
  <c r="G102" i="72"/>
  <c r="H102" i="72" s="1"/>
  <c r="C101" i="72"/>
  <c r="J101" i="72" s="1"/>
  <c r="K101" i="72" s="1"/>
  <c r="M101" i="72" s="1"/>
  <c r="C100" i="72"/>
  <c r="J100" i="72" s="1"/>
  <c r="K100" i="72" s="1"/>
  <c r="M100" i="72" s="1"/>
  <c r="C99" i="72"/>
  <c r="J99" i="72" s="1"/>
  <c r="K99" i="72" s="1"/>
  <c r="M99" i="72" s="1"/>
  <c r="C98" i="72"/>
  <c r="G98" i="72" s="1"/>
  <c r="I98" i="72" s="1"/>
  <c r="C97" i="72"/>
  <c r="J97" i="72" s="1"/>
  <c r="K97" i="72" s="1"/>
  <c r="M97" i="72" s="1"/>
  <c r="C96" i="72"/>
  <c r="J96" i="72" s="1"/>
  <c r="K96" i="72" s="1"/>
  <c r="M96" i="72" s="1"/>
  <c r="C95" i="72"/>
  <c r="J95" i="72" s="1"/>
  <c r="K95" i="72" s="1"/>
  <c r="M95" i="72" s="1"/>
  <c r="C94" i="72"/>
  <c r="G94" i="72" s="1"/>
  <c r="C93" i="72"/>
  <c r="K93" i="72" s="1"/>
  <c r="E91" i="72"/>
  <c r="L81" i="72"/>
  <c r="O81" i="72" s="1"/>
  <c r="J80" i="72"/>
  <c r="G80" i="72"/>
  <c r="L80" i="72" s="1"/>
  <c r="O80" i="72" s="1"/>
  <c r="C79" i="72"/>
  <c r="K79" i="72" s="1"/>
  <c r="L79" i="72" s="1"/>
  <c r="O79" i="72" s="1"/>
  <c r="C78" i="72"/>
  <c r="K78" i="72" s="1"/>
  <c r="L78" i="72" s="1"/>
  <c r="C77" i="72"/>
  <c r="K77" i="72" s="1"/>
  <c r="L77" i="72" s="1"/>
  <c r="C76" i="72"/>
  <c r="K76" i="72" s="1"/>
  <c r="L76" i="72" s="1"/>
  <c r="C75" i="72"/>
  <c r="K75" i="72" s="1"/>
  <c r="L75" i="72" s="1"/>
  <c r="C74" i="72"/>
  <c r="K74" i="72" s="1"/>
  <c r="L74" i="72" s="1"/>
  <c r="C73" i="72"/>
  <c r="K73" i="72" s="1"/>
  <c r="L73" i="72" s="1"/>
  <c r="C72" i="72"/>
  <c r="K72" i="72" s="1"/>
  <c r="L72" i="72" s="1"/>
  <c r="C71" i="72"/>
  <c r="K71" i="72" s="1"/>
  <c r="G71" i="72" s="1"/>
  <c r="E69" i="72"/>
  <c r="L61" i="72"/>
  <c r="O61" i="72" s="1"/>
  <c r="J60" i="72"/>
  <c r="H60" i="72"/>
  <c r="G60" i="72"/>
  <c r="L60" i="72" s="1"/>
  <c r="O60" i="72" s="1"/>
  <c r="C59" i="72"/>
  <c r="K59" i="72" s="1"/>
  <c r="L59" i="72" s="1"/>
  <c r="O59" i="72" s="1"/>
  <c r="C58" i="72"/>
  <c r="K58" i="72" s="1"/>
  <c r="L58" i="72" s="1"/>
  <c r="C57" i="72"/>
  <c r="K57" i="72" s="1"/>
  <c r="L57" i="72" s="1"/>
  <c r="C56" i="72"/>
  <c r="K56" i="72" s="1"/>
  <c r="L56" i="72" s="1"/>
  <c r="C55" i="72"/>
  <c r="K55" i="72" s="1"/>
  <c r="L55" i="72" s="1"/>
  <c r="C54" i="72"/>
  <c r="K54" i="72" s="1"/>
  <c r="L54" i="72" s="1"/>
  <c r="C53" i="72"/>
  <c r="K53" i="72" s="1"/>
  <c r="L53" i="72" s="1"/>
  <c r="C52" i="72"/>
  <c r="K52" i="72" s="1"/>
  <c r="L52" i="72" s="1"/>
  <c r="C51" i="72"/>
  <c r="K51" i="72" s="1"/>
  <c r="E49" i="72"/>
  <c r="J39" i="72"/>
  <c r="G39" i="72"/>
  <c r="L39" i="72" s="1"/>
  <c r="O39" i="72" s="1"/>
  <c r="C38" i="72"/>
  <c r="K38" i="72" s="1"/>
  <c r="L38" i="72" s="1"/>
  <c r="O38" i="72" s="1"/>
  <c r="C37" i="72"/>
  <c r="G37" i="72" s="1"/>
  <c r="C36" i="72"/>
  <c r="G36" i="72" s="1"/>
  <c r="C35" i="72"/>
  <c r="G35" i="72" s="1"/>
  <c r="C34" i="72"/>
  <c r="G34" i="72" s="1"/>
  <c r="C33" i="72"/>
  <c r="G33" i="72" s="1"/>
  <c r="C32" i="72"/>
  <c r="G32" i="72" s="1"/>
  <c r="C31" i="72"/>
  <c r="K31" i="72" s="1"/>
  <c r="L31" i="72" s="1"/>
  <c r="M31" i="72" s="1"/>
  <c r="C30" i="72"/>
  <c r="K30" i="72" s="1"/>
  <c r="L30" i="72" s="1"/>
  <c r="E28" i="72"/>
  <c r="G19" i="72"/>
  <c r="L19" i="72" s="1"/>
  <c r="O19" i="72" s="1"/>
  <c r="C18" i="72"/>
  <c r="K18" i="72" s="1"/>
  <c r="L18" i="72" s="1"/>
  <c r="O18" i="72" s="1"/>
  <c r="C17" i="72"/>
  <c r="K17" i="72" s="1"/>
  <c r="L17" i="72" s="1"/>
  <c r="C16" i="72"/>
  <c r="C15" i="72"/>
  <c r="C14" i="72"/>
  <c r="C13" i="72"/>
  <c r="C12" i="72"/>
  <c r="C11" i="72"/>
  <c r="C10" i="72"/>
  <c r="C9" i="72"/>
  <c r="G9" i="72" s="1"/>
  <c r="I9" i="72" s="1"/>
  <c r="C8" i="72"/>
  <c r="K8" i="72" s="1"/>
  <c r="E6" i="72"/>
  <c r="D98" i="16"/>
  <c r="D99" i="16" s="1"/>
  <c r="D94" i="16"/>
  <c r="E77" i="16"/>
  <c r="E70" i="16" s="1"/>
  <c r="E76" i="16"/>
  <c r="E69" i="16"/>
  <c r="E68" i="16"/>
  <c r="E64" i="16"/>
  <c r="E65" i="16" s="1"/>
  <c r="E58" i="16"/>
  <c r="E59" i="16" s="1"/>
  <c r="G45" i="16"/>
  <c r="G44" i="16"/>
  <c r="G43" i="16"/>
  <c r="G42" i="16"/>
  <c r="G41" i="16"/>
  <c r="F40" i="16"/>
  <c r="G40" i="16" s="1"/>
  <c r="G39" i="16"/>
  <c r="F38" i="16"/>
  <c r="G38" i="16" s="1"/>
  <c r="E38" i="16"/>
  <c r="F37" i="16"/>
  <c r="G37" i="16" s="1"/>
  <c r="G35" i="16"/>
  <c r="F35" i="16"/>
  <c r="F34" i="16"/>
  <c r="G34" i="16" s="1"/>
  <c r="G30" i="16"/>
  <c r="F27" i="16"/>
  <c r="C27" i="16"/>
  <c r="F25" i="16"/>
  <c r="G25" i="16" s="1"/>
  <c r="F24" i="16"/>
  <c r="G24" i="16" s="1"/>
  <c r="F23" i="16"/>
  <c r="G23" i="16" s="1"/>
  <c r="F22" i="16"/>
  <c r="G22" i="16" s="1"/>
  <c r="F21" i="16"/>
  <c r="G21" i="16" s="1"/>
  <c r="C21" i="16"/>
  <c r="L20" i="16"/>
  <c r="H30" i="16" s="1"/>
  <c r="D15" i="16"/>
  <c r="D10" i="16"/>
  <c r="E29" i="16" s="1"/>
  <c r="D97" i="15"/>
  <c r="D98" i="15" s="1"/>
  <c r="D99" i="15" s="1"/>
  <c r="D93" i="15"/>
  <c r="E76" i="15"/>
  <c r="E69" i="15" s="1"/>
  <c r="E75" i="15"/>
  <c r="E68" i="15"/>
  <c r="E67" i="15"/>
  <c r="E63" i="15"/>
  <c r="E64" i="15" s="1"/>
  <c r="E57" i="15"/>
  <c r="E58" i="15" s="1"/>
  <c r="G44" i="15"/>
  <c r="G43" i="15"/>
  <c r="G42" i="15"/>
  <c r="G41" i="15"/>
  <c r="G40" i="15"/>
  <c r="F39" i="15"/>
  <c r="G39" i="15" s="1"/>
  <c r="G38" i="15"/>
  <c r="F37" i="15"/>
  <c r="E37" i="15"/>
  <c r="F36" i="15"/>
  <c r="G36" i="15" s="1"/>
  <c r="F34" i="15"/>
  <c r="G34" i="15" s="1"/>
  <c r="G30" i="15"/>
  <c r="F27" i="15"/>
  <c r="C27" i="15"/>
  <c r="F25" i="15"/>
  <c r="G25" i="15" s="1"/>
  <c r="F24" i="15"/>
  <c r="G24" i="15" s="1"/>
  <c r="F23" i="15"/>
  <c r="G23" i="15" s="1"/>
  <c r="F22" i="15"/>
  <c r="G22" i="15" s="1"/>
  <c r="H22" i="15" s="1"/>
  <c r="F21" i="15"/>
  <c r="G21" i="15" s="1"/>
  <c r="C21" i="15"/>
  <c r="L20" i="15"/>
  <c r="D15" i="15"/>
  <c r="D17" i="15" s="1"/>
  <c r="D10" i="15"/>
  <c r="G9" i="13"/>
  <c r="F8" i="13"/>
  <c r="G8" i="13" s="1"/>
  <c r="G7" i="13"/>
  <c r="F6" i="13"/>
  <c r="G6" i="13" s="1"/>
  <c r="G5" i="13"/>
  <c r="F4" i="13"/>
  <c r="G4" i="13" s="1"/>
  <c r="D2" i="13"/>
  <c r="L3" i="13" s="1"/>
  <c r="G9" i="12"/>
  <c r="F8" i="12"/>
  <c r="G8" i="12" s="1"/>
  <c r="G7" i="12"/>
  <c r="F6" i="12"/>
  <c r="G6" i="12" s="1"/>
  <c r="G5" i="12"/>
  <c r="F4" i="12"/>
  <c r="G4" i="12" s="1"/>
  <c r="D2" i="12"/>
  <c r="L3" i="12" s="1"/>
  <c r="G11" i="10"/>
  <c r="F10" i="10"/>
  <c r="G10" i="10" s="1"/>
  <c r="F9" i="10"/>
  <c r="G9" i="10" s="1"/>
  <c r="G8" i="10"/>
  <c r="F7" i="10"/>
  <c r="G7" i="10" s="1"/>
  <c r="F6" i="10"/>
  <c r="G6" i="10" s="1"/>
  <c r="G5" i="10"/>
  <c r="F4" i="10"/>
  <c r="G4" i="10" s="1"/>
  <c r="D2" i="10"/>
  <c r="L3" i="10" s="1"/>
  <c r="H13" i="10" s="1"/>
  <c r="G10" i="11"/>
  <c r="G9" i="11"/>
  <c r="K8" i="11"/>
  <c r="G8" i="11"/>
  <c r="G7" i="11"/>
  <c r="F6" i="11"/>
  <c r="G6" i="11" s="1"/>
  <c r="G5" i="11"/>
  <c r="F4" i="11"/>
  <c r="G4" i="11" s="1"/>
  <c r="D2" i="11"/>
  <c r="L3" i="11" s="1"/>
  <c r="G25" i="14"/>
  <c r="H25" i="14" s="1"/>
  <c r="M24" i="14"/>
  <c r="N24" i="14" s="1"/>
  <c r="H24" i="14"/>
  <c r="G23" i="14"/>
  <c r="F22" i="14"/>
  <c r="G22" i="14" s="1"/>
  <c r="G21" i="14"/>
  <c r="H21" i="14" s="1"/>
  <c r="G20" i="14"/>
  <c r="H20" i="14" s="1"/>
  <c r="G19" i="14"/>
  <c r="G18" i="14"/>
  <c r="G17" i="14"/>
  <c r="H17" i="14" s="1"/>
  <c r="G16" i="14"/>
  <c r="H16" i="14" s="1"/>
  <c r="G15" i="14"/>
  <c r="G14" i="14"/>
  <c r="G13" i="14"/>
  <c r="H13" i="14" s="1"/>
  <c r="G12" i="14"/>
  <c r="H12" i="14" s="1"/>
  <c r="G11" i="14"/>
  <c r="G10" i="14"/>
  <c r="G9" i="14"/>
  <c r="H9" i="14" s="1"/>
  <c r="G8" i="14"/>
  <c r="H8" i="14" s="1"/>
  <c r="G7" i="14"/>
  <c r="G6" i="14"/>
  <c r="G5" i="14"/>
  <c r="F4" i="14"/>
  <c r="G4" i="14" s="1"/>
  <c r="N25" i="14" s="1"/>
  <c r="L3" i="14"/>
  <c r="F45" i="24"/>
  <c r="F44" i="24"/>
  <c r="F40" i="24"/>
  <c r="F16" i="24"/>
  <c r="F15" i="24"/>
  <c r="F14" i="24"/>
  <c r="F13" i="24"/>
  <c r="F12" i="24"/>
  <c r="F11" i="24"/>
  <c r="F10" i="24"/>
  <c r="F9" i="24"/>
  <c r="F8" i="24"/>
  <c r="F7" i="24"/>
  <c r="H37" i="16" l="1"/>
  <c r="H40" i="16"/>
  <c r="H7" i="14"/>
  <c r="H11" i="14"/>
  <c r="H15" i="14"/>
  <c r="H19" i="14"/>
  <c r="H23" i="14"/>
  <c r="H23" i="15"/>
  <c r="H19" i="72"/>
  <c r="H80" i="72"/>
  <c r="N47" i="27"/>
  <c r="O73" i="27"/>
  <c r="N74" i="27" s="1"/>
  <c r="J19" i="72"/>
  <c r="H4" i="10"/>
  <c r="G9" i="56"/>
  <c r="G45" i="56"/>
  <c r="G81" i="56"/>
  <c r="G91" i="56"/>
  <c r="G92" i="56" s="1"/>
  <c r="G102" i="56"/>
  <c r="G103" i="56" s="1"/>
  <c r="H10" i="10"/>
  <c r="H13" i="11"/>
  <c r="H14" i="11"/>
  <c r="H7" i="11"/>
  <c r="H7" i="10"/>
  <c r="G10" i="12"/>
  <c r="H21" i="15"/>
  <c r="H5" i="11"/>
  <c r="G10" i="13"/>
  <c r="H10" i="13" s="1"/>
  <c r="H43" i="16"/>
  <c r="H44" i="16"/>
  <c r="E79" i="16"/>
  <c r="I60" i="72"/>
  <c r="I80" i="72"/>
  <c r="G36" i="56"/>
  <c r="G72" i="56"/>
  <c r="O14" i="27"/>
  <c r="N33" i="27" s="1"/>
  <c r="N48" i="27"/>
  <c r="N50" i="27"/>
  <c r="N78" i="27"/>
  <c r="H36" i="15"/>
  <c r="G26" i="14"/>
  <c r="H26" i="14" s="1"/>
  <c r="H6" i="11"/>
  <c r="H5" i="10"/>
  <c r="H8" i="10"/>
  <c r="H11" i="10"/>
  <c r="H43" i="15"/>
  <c r="E78" i="15"/>
  <c r="H6" i="14"/>
  <c r="H10" i="14"/>
  <c r="H14" i="14"/>
  <c r="H18" i="14"/>
  <c r="H9" i="11"/>
  <c r="H6" i="10"/>
  <c r="H9" i="10"/>
  <c r="G37" i="15"/>
  <c r="H37" i="15" s="1"/>
  <c r="D14" i="16"/>
  <c r="E27" i="16" s="1"/>
  <c r="G27" i="16" s="1"/>
  <c r="H45" i="16"/>
  <c r="D100" i="16"/>
  <c r="G27" i="56"/>
  <c r="G63" i="56"/>
  <c r="N46" i="27"/>
  <c r="N55" i="27"/>
  <c r="H10" i="11"/>
  <c r="H39" i="16"/>
  <c r="H42" i="16"/>
  <c r="H39" i="72"/>
  <c r="G18" i="56"/>
  <c r="G54" i="56"/>
  <c r="N49" i="27"/>
  <c r="G14" i="13"/>
  <c r="G27" i="14"/>
  <c r="H22" i="14"/>
  <c r="N26" i="14"/>
  <c r="H11" i="12"/>
  <c r="H9" i="12"/>
  <c r="H12" i="12"/>
  <c r="H13" i="12"/>
  <c r="H6" i="12"/>
  <c r="G11" i="11"/>
  <c r="G14" i="12"/>
  <c r="H10" i="12"/>
  <c r="H11" i="13"/>
  <c r="H9" i="13"/>
  <c r="H12" i="13"/>
  <c r="H13" i="13"/>
  <c r="H6" i="13"/>
  <c r="H4" i="11"/>
  <c r="H15" i="10"/>
  <c r="H4" i="12"/>
  <c r="H4" i="13"/>
  <c r="H38" i="15"/>
  <c r="H44" i="15"/>
  <c r="E31" i="16"/>
  <c r="G31" i="16" s="1"/>
  <c r="G29" i="16"/>
  <c r="N37" i="27"/>
  <c r="N21" i="27"/>
  <c r="N36" i="27"/>
  <c r="N20" i="27"/>
  <c r="N39" i="27"/>
  <c r="N23" i="27"/>
  <c r="N38" i="27"/>
  <c r="N22" i="27"/>
  <c r="G28" i="14"/>
  <c r="H14" i="10"/>
  <c r="H23" i="16"/>
  <c r="H4" i="14"/>
  <c r="H8" i="11"/>
  <c r="H12" i="11"/>
  <c r="G12" i="10"/>
  <c r="H5" i="12"/>
  <c r="H7" i="12"/>
  <c r="H5" i="13"/>
  <c r="H7" i="13"/>
  <c r="D14" i="15"/>
  <c r="E29" i="15"/>
  <c r="H41" i="15"/>
  <c r="H21" i="16"/>
  <c r="H38" i="16"/>
  <c r="N76" i="27"/>
  <c r="H8" i="12"/>
  <c r="H8" i="13"/>
  <c r="H5" i="14"/>
  <c r="H39" i="15"/>
  <c r="H42" i="15"/>
  <c r="H22" i="16"/>
  <c r="I19" i="72"/>
  <c r="I39" i="72"/>
  <c r="N56" i="27"/>
  <c r="N57" i="27"/>
  <c r="N58" i="27"/>
  <c r="N59" i="27"/>
  <c r="N60" i="27"/>
  <c r="N61" i="27"/>
  <c r="N62" i="27"/>
  <c r="N63" i="27"/>
  <c r="N64" i="27"/>
  <c r="N65" i="27"/>
  <c r="N66" i="27"/>
  <c r="N67" i="27"/>
  <c r="N68" i="27"/>
  <c r="N69" i="27"/>
  <c r="N79" i="27"/>
  <c r="N80" i="27"/>
  <c r="N81" i="27"/>
  <c r="N82" i="27"/>
  <c r="N83" i="27"/>
  <c r="N84" i="27"/>
  <c r="N85" i="27"/>
  <c r="N86" i="27"/>
  <c r="N87" i="27"/>
  <c r="N88" i="27"/>
  <c r="N89" i="27"/>
  <c r="N90" i="27"/>
  <c r="N91" i="27"/>
  <c r="N92" i="27"/>
  <c r="N93" i="27"/>
  <c r="N94" i="27"/>
  <c r="N95" i="27"/>
  <c r="N96" i="27"/>
  <c r="N97" i="27"/>
  <c r="H30" i="15"/>
  <c r="D17" i="16"/>
  <c r="N51" i="27"/>
  <c r="N52" i="27"/>
  <c r="N53" i="27"/>
  <c r="Q47" i="27"/>
  <c r="G78" i="72"/>
  <c r="J78" i="72" s="1"/>
  <c r="G31" i="72"/>
  <c r="J31" i="72" s="1"/>
  <c r="K35" i="72"/>
  <c r="L35" i="72" s="1"/>
  <c r="N35" i="72" s="1"/>
  <c r="G74" i="72"/>
  <c r="J74" i="72" s="1"/>
  <c r="G79" i="72"/>
  <c r="J79" i="72" s="1"/>
  <c r="K37" i="72"/>
  <c r="L37" i="72" s="1"/>
  <c r="N37" i="72" s="1"/>
  <c r="G75" i="72"/>
  <c r="J75" i="72" s="1"/>
  <c r="K36" i="72"/>
  <c r="L36" i="72" s="1"/>
  <c r="O36" i="72" s="1"/>
  <c r="G72" i="72"/>
  <c r="J72" i="72" s="1"/>
  <c r="G8" i="72"/>
  <c r="J8" i="72" s="1"/>
  <c r="J20" i="72" s="1"/>
  <c r="L8" i="72"/>
  <c r="N8" i="72" s="1"/>
  <c r="N20" i="72" s="1"/>
  <c r="K32" i="72"/>
  <c r="L32" i="72" s="1"/>
  <c r="N32" i="72" s="1"/>
  <c r="G30" i="72"/>
  <c r="H30" i="72" s="1"/>
  <c r="H41" i="72" s="1"/>
  <c r="G38" i="72"/>
  <c r="J38" i="72" s="1"/>
  <c r="K33" i="72"/>
  <c r="L33" i="72" s="1"/>
  <c r="N33" i="72" s="1"/>
  <c r="G76" i="72"/>
  <c r="J76" i="72" s="1"/>
  <c r="H9" i="72"/>
  <c r="G73" i="72"/>
  <c r="J73" i="72" s="1"/>
  <c r="G77" i="72"/>
  <c r="J77" i="72" s="1"/>
  <c r="K34" i="72"/>
  <c r="L34" i="72" s="1"/>
  <c r="O34" i="72" s="1"/>
  <c r="K10" i="72"/>
  <c r="L10" i="72" s="1"/>
  <c r="G10" i="72"/>
  <c r="N78" i="72"/>
  <c r="O78" i="72"/>
  <c r="I32" i="72"/>
  <c r="J32" i="72"/>
  <c r="O54" i="72"/>
  <c r="N54" i="72"/>
  <c r="H71" i="72"/>
  <c r="H82" i="72" s="1"/>
  <c r="J71" i="72"/>
  <c r="J82" i="72" s="1"/>
  <c r="I71" i="72"/>
  <c r="I82" i="72" s="1"/>
  <c r="K11" i="72"/>
  <c r="L11" i="72" s="1"/>
  <c r="G11" i="72"/>
  <c r="K15" i="72"/>
  <c r="L15" i="72" s="1"/>
  <c r="G15" i="72"/>
  <c r="N30" i="72"/>
  <c r="N41" i="72" s="1"/>
  <c r="M30" i="72"/>
  <c r="M41" i="72" s="1"/>
  <c r="I35" i="72"/>
  <c r="J35" i="72"/>
  <c r="O55" i="72"/>
  <c r="N55" i="72"/>
  <c r="N75" i="72"/>
  <c r="O75" i="72"/>
  <c r="K16" i="72"/>
  <c r="L16" i="72" s="1"/>
  <c r="G16" i="72"/>
  <c r="O30" i="72"/>
  <c r="O41" i="72" s="1"/>
  <c r="I33" i="72"/>
  <c r="J33" i="72"/>
  <c r="O57" i="72"/>
  <c r="N57" i="72"/>
  <c r="N76" i="72"/>
  <c r="O76" i="72"/>
  <c r="I37" i="72"/>
  <c r="J37" i="72"/>
  <c r="N74" i="72"/>
  <c r="O74" i="72"/>
  <c r="O56" i="72"/>
  <c r="N56" i="72"/>
  <c r="K12" i="72"/>
  <c r="L12" i="72" s="1"/>
  <c r="G12" i="72"/>
  <c r="I36" i="72"/>
  <c r="J36" i="72"/>
  <c r="O58" i="72"/>
  <c r="N58" i="72"/>
  <c r="N72" i="72"/>
  <c r="M72" i="72"/>
  <c r="O72" i="72"/>
  <c r="K13" i="72"/>
  <c r="L13" i="72" s="1"/>
  <c r="G13" i="72"/>
  <c r="O17" i="72"/>
  <c r="N17" i="72"/>
  <c r="G51" i="72"/>
  <c r="L51" i="72"/>
  <c r="N73" i="72"/>
  <c r="O73" i="72"/>
  <c r="N77" i="72"/>
  <c r="O77" i="72"/>
  <c r="G93" i="72"/>
  <c r="L93" i="72"/>
  <c r="J9" i="72"/>
  <c r="O31" i="72"/>
  <c r="N31" i="72"/>
  <c r="I34" i="72"/>
  <c r="J34" i="72"/>
  <c r="M52" i="72"/>
  <c r="O52" i="72"/>
  <c r="N52" i="72"/>
  <c r="I94" i="72"/>
  <c r="H94" i="72"/>
  <c r="K14" i="72"/>
  <c r="L14" i="72" s="1"/>
  <c r="G14" i="72"/>
  <c r="O53" i="72"/>
  <c r="N53" i="72"/>
  <c r="J93" i="72"/>
  <c r="J94" i="72"/>
  <c r="K94" i="72" s="1"/>
  <c r="G17" i="72"/>
  <c r="G18" i="72"/>
  <c r="J18" i="72" s="1"/>
  <c r="G52" i="72"/>
  <c r="G97" i="72"/>
  <c r="I97" i="72" s="1"/>
  <c r="J98" i="72"/>
  <c r="K98" i="72" s="1"/>
  <c r="M98" i="72" s="1"/>
  <c r="G101" i="72"/>
  <c r="I101" i="72" s="1"/>
  <c r="K9" i="72"/>
  <c r="L9" i="72" s="1"/>
  <c r="G53" i="72"/>
  <c r="G54" i="72"/>
  <c r="G55" i="72"/>
  <c r="G56" i="72"/>
  <c r="G57" i="72"/>
  <c r="G58" i="72"/>
  <c r="G59" i="72"/>
  <c r="J59" i="72" s="1"/>
  <c r="L71" i="72"/>
  <c r="G96" i="72"/>
  <c r="I96" i="72" s="1"/>
  <c r="G100" i="72"/>
  <c r="I100" i="72" s="1"/>
  <c r="G95" i="72"/>
  <c r="I95" i="72" s="1"/>
  <c r="G99" i="72"/>
  <c r="I99" i="72" s="1"/>
  <c r="N77" i="27" l="1"/>
  <c r="N26" i="27"/>
  <c r="N42" i="27"/>
  <c r="N27" i="27"/>
  <c r="N43" i="27"/>
  <c r="N24" i="27"/>
  <c r="N40" i="27"/>
  <c r="N25" i="27"/>
  <c r="N41" i="27"/>
  <c r="N75" i="27"/>
  <c r="N73" i="27"/>
  <c r="R73" i="27" s="1"/>
  <c r="D12" i="16"/>
  <c r="N30" i="27"/>
  <c r="N15" i="27"/>
  <c r="N31" i="27"/>
  <c r="N14" i="27"/>
  <c r="N28" i="27"/>
  <c r="N44" i="27"/>
  <c r="N29" i="27"/>
  <c r="N45" i="27"/>
  <c r="N18" i="27"/>
  <c r="N34" i="27"/>
  <c r="N19" i="27"/>
  <c r="N35" i="27"/>
  <c r="N16" i="27"/>
  <c r="N32" i="27"/>
  <c r="N17" i="27"/>
  <c r="H27" i="16"/>
  <c r="G29" i="14"/>
  <c r="H28" i="14"/>
  <c r="G15" i="11"/>
  <c r="H11" i="11"/>
  <c r="H27" i="14"/>
  <c r="G30" i="14"/>
  <c r="D37" i="14"/>
  <c r="G16" i="10"/>
  <c r="H12" i="10"/>
  <c r="G29" i="15"/>
  <c r="E31" i="15"/>
  <c r="G31" i="15" s="1"/>
  <c r="H29" i="16"/>
  <c r="E28" i="16"/>
  <c r="G33" i="16"/>
  <c r="D12" i="15"/>
  <c r="E27" i="15"/>
  <c r="H31" i="16"/>
  <c r="H14" i="12"/>
  <c r="G15" i="12"/>
  <c r="H15" i="12" s="1"/>
  <c r="H14" i="13"/>
  <c r="G15" i="13"/>
  <c r="H15" i="13" s="1"/>
  <c r="I74" i="72"/>
  <c r="O32" i="72"/>
  <c r="I78" i="72"/>
  <c r="O37" i="72"/>
  <c r="I30" i="72"/>
  <c r="I41" i="72" s="1"/>
  <c r="N45" i="72" s="1"/>
  <c r="J30" i="72"/>
  <c r="J41" i="72" s="1"/>
  <c r="O45" i="72" s="1"/>
  <c r="I75" i="72"/>
  <c r="O35" i="72"/>
  <c r="N36" i="72"/>
  <c r="O33" i="72"/>
  <c r="N34" i="72"/>
  <c r="I31" i="72"/>
  <c r="H31" i="72"/>
  <c r="H8" i="72"/>
  <c r="H20" i="72" s="1"/>
  <c r="M8" i="72"/>
  <c r="M20" i="72" s="1"/>
  <c r="I8" i="72"/>
  <c r="I20" i="72" s="1"/>
  <c r="N24" i="72" s="1"/>
  <c r="I77" i="72"/>
  <c r="O8" i="72"/>
  <c r="O20" i="72" s="1"/>
  <c r="O24" i="72" s="1"/>
  <c r="I72" i="72"/>
  <c r="I76" i="72"/>
  <c r="H72" i="72"/>
  <c r="I73" i="72"/>
  <c r="J54" i="72"/>
  <c r="I54" i="72"/>
  <c r="O10" i="72"/>
  <c r="N10" i="72"/>
  <c r="J53" i="72"/>
  <c r="I53" i="72"/>
  <c r="J17" i="72"/>
  <c r="I17" i="72"/>
  <c r="O13" i="72"/>
  <c r="N13" i="72"/>
  <c r="J12" i="72"/>
  <c r="I12" i="72"/>
  <c r="O15" i="72"/>
  <c r="N15" i="72"/>
  <c r="O71" i="72"/>
  <c r="O82" i="72" s="1"/>
  <c r="N71" i="72"/>
  <c r="N82" i="72" s="1"/>
  <c r="M71" i="72"/>
  <c r="M82" i="72" s="1"/>
  <c r="O9" i="72"/>
  <c r="N9" i="72"/>
  <c r="M9" i="72"/>
  <c r="M94" i="72"/>
  <c r="L94" i="72"/>
  <c r="O51" i="72"/>
  <c r="O62" i="72" s="1"/>
  <c r="N51" i="72"/>
  <c r="N62" i="72" s="1"/>
  <c r="M51" i="72"/>
  <c r="M62" i="72" s="1"/>
  <c r="O12" i="72"/>
  <c r="N12" i="72"/>
  <c r="J11" i="72"/>
  <c r="I11" i="72"/>
  <c r="J15" i="72"/>
  <c r="I15" i="72"/>
  <c r="J51" i="72"/>
  <c r="J62" i="72" s="1"/>
  <c r="I51" i="72"/>
  <c r="I62" i="72" s="1"/>
  <c r="H51" i="72"/>
  <c r="H62" i="72" s="1"/>
  <c r="L104" i="72"/>
  <c r="M93" i="72"/>
  <c r="M104" i="72" s="1"/>
  <c r="J57" i="72"/>
  <c r="I57" i="72"/>
  <c r="I93" i="72"/>
  <c r="I104" i="72" s="1"/>
  <c r="H93" i="72"/>
  <c r="H104" i="72" s="1"/>
  <c r="N22" i="72"/>
  <c r="O16" i="72"/>
  <c r="N16" i="72"/>
  <c r="J13" i="72"/>
  <c r="I13" i="72"/>
  <c r="O43" i="72"/>
  <c r="J58" i="72"/>
  <c r="I58" i="72"/>
  <c r="J16" i="72"/>
  <c r="I16" i="72"/>
  <c r="J56" i="72"/>
  <c r="I56" i="72"/>
  <c r="J14" i="72"/>
  <c r="I14" i="72"/>
  <c r="M43" i="72"/>
  <c r="M45" i="72"/>
  <c r="O11" i="72"/>
  <c r="N11" i="72"/>
  <c r="J55" i="72"/>
  <c r="I55" i="72"/>
  <c r="H52" i="72"/>
  <c r="J52" i="72"/>
  <c r="I52" i="72"/>
  <c r="O14" i="72"/>
  <c r="N14" i="72"/>
  <c r="N43" i="72"/>
  <c r="J10" i="72"/>
  <c r="I10" i="72"/>
  <c r="G16" i="12" l="1"/>
  <c r="E28" i="15"/>
  <c r="G33" i="15"/>
  <c r="G27" i="15"/>
  <c r="G16" i="13"/>
  <c r="H16" i="10"/>
  <c r="G17" i="10"/>
  <c r="H17" i="10" s="1"/>
  <c r="H29" i="14"/>
  <c r="I29" i="14" s="1"/>
  <c r="I38" i="14"/>
  <c r="H33" i="16"/>
  <c r="H31" i="15"/>
  <c r="G16" i="11"/>
  <c r="H16" i="11" s="1"/>
  <c r="H15" i="11"/>
  <c r="H16" i="12"/>
  <c r="G17" i="12"/>
  <c r="H17" i="12" s="1"/>
  <c r="E32" i="16"/>
  <c r="G32" i="16" s="1"/>
  <c r="G28" i="16"/>
  <c r="H29" i="15"/>
  <c r="D39" i="14"/>
  <c r="G31" i="14"/>
  <c r="H30" i="14"/>
  <c r="M24" i="72"/>
  <c r="M22" i="72"/>
  <c r="O22" i="72"/>
  <c r="O66" i="72"/>
  <c r="O64" i="72"/>
  <c r="O84" i="72"/>
  <c r="O86" i="72"/>
  <c r="N64" i="72"/>
  <c r="N66" i="72"/>
  <c r="M106" i="72"/>
  <c r="M108" i="72"/>
  <c r="N84" i="72"/>
  <c r="N86" i="72"/>
  <c r="L108" i="72"/>
  <c r="L106" i="72"/>
  <c r="M64" i="72"/>
  <c r="M66" i="72"/>
  <c r="M84" i="72"/>
  <c r="M86" i="72"/>
  <c r="G17" i="11" l="1"/>
  <c r="H27" i="15"/>
  <c r="H32" i="16"/>
  <c r="H16" i="13"/>
  <c r="G17" i="13"/>
  <c r="H17" i="13" s="1"/>
  <c r="G18" i="12"/>
  <c r="H18" i="12" s="1"/>
  <c r="G18" i="10"/>
  <c r="H33" i="15"/>
  <c r="G18" i="11"/>
  <c r="H18" i="11" s="1"/>
  <c r="H17" i="11"/>
  <c r="G19" i="11"/>
  <c r="H19" i="11" s="1"/>
  <c r="G32" i="14"/>
  <c r="H31" i="14"/>
  <c r="H28" i="16"/>
  <c r="G47" i="16"/>
  <c r="I32" i="16" s="1"/>
  <c r="G28" i="15"/>
  <c r="E32" i="15"/>
  <c r="G32" i="15" s="1"/>
  <c r="I28" i="16" l="1"/>
  <c r="H32" i="15"/>
  <c r="G46" i="15"/>
  <c r="I28" i="15" s="1"/>
  <c r="G18" i="13"/>
  <c r="H18" i="13" s="1"/>
  <c r="H28" i="15"/>
  <c r="H18" i="10"/>
  <c r="G19" i="10"/>
  <c r="H19" i="10" s="1"/>
  <c r="I47" i="16"/>
  <c r="H47" i="16"/>
  <c r="I30" i="16"/>
  <c r="I40" i="16"/>
  <c r="I38" i="16"/>
  <c r="I22" i="16"/>
  <c r="G48" i="16"/>
  <c r="H48" i="16" s="1"/>
  <c r="I39" i="16"/>
  <c r="I37" i="16"/>
  <c r="I23" i="16"/>
  <c r="I21" i="16"/>
  <c r="I27" i="16"/>
  <c r="I31" i="16"/>
  <c r="I29" i="16"/>
  <c r="I33" i="16"/>
  <c r="G33" i="14"/>
  <c r="H32" i="14"/>
  <c r="D38" i="14"/>
  <c r="D40" i="14"/>
  <c r="G20" i="10" l="1"/>
  <c r="H20" i="10" s="1"/>
  <c r="G49" i="16"/>
  <c r="H49" i="16" s="1"/>
  <c r="G50" i="16"/>
  <c r="I46" i="16"/>
  <c r="I46" i="15"/>
  <c r="H46" i="15"/>
  <c r="I38" i="15"/>
  <c r="I39" i="15"/>
  <c r="I21" i="15"/>
  <c r="I30" i="15"/>
  <c r="I36" i="15"/>
  <c r="I22" i="15"/>
  <c r="I37" i="15"/>
  <c r="I23" i="15"/>
  <c r="G47" i="15"/>
  <c r="H47" i="15" s="1"/>
  <c r="I29" i="15"/>
  <c r="I31" i="15"/>
  <c r="I27" i="15"/>
  <c r="I33" i="15"/>
  <c r="G34" i="14"/>
  <c r="H33" i="14"/>
  <c r="I32" i="15"/>
  <c r="G35" i="14" l="1"/>
  <c r="H34" i="14"/>
  <c r="G48" i="15"/>
  <c r="H50" i="16"/>
  <c r="G51" i="16"/>
  <c r="G49" i="15" l="1"/>
  <c r="I45" i="15"/>
  <c r="H48" i="15"/>
  <c r="G52" i="16"/>
  <c r="D102" i="16"/>
  <c r="H51" i="16"/>
  <c r="D90" i="16"/>
  <c r="H52" i="16" l="1"/>
  <c r="G53" i="16"/>
  <c r="H53" i="16" s="1"/>
  <c r="H49" i="15"/>
  <c r="G50" i="15"/>
  <c r="G51" i="15" l="1"/>
  <c r="D101" i="15"/>
  <c r="H50" i="15"/>
  <c r="D89" i="15"/>
  <c r="H51" i="15" l="1"/>
  <c r="G52" i="15"/>
  <c r="H52" i="15" s="1"/>
</calcChain>
</file>

<file path=xl/comments1.xml><?xml version="1.0" encoding="utf-8"?>
<comments xmlns="http://schemas.openxmlformats.org/spreadsheetml/2006/main">
  <authors>
    <author>Автор</author>
  </authors>
  <commentLis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 последовательно и 7 таких цепочек параллельно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 последовательно и 7 таких цепочек параллельно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Используем б/у 
поддоны от сырья ООО Хевел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Q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1 комплект
</t>
        </r>
      </text>
    </comment>
  </commentList>
</comments>
</file>

<file path=xl/sharedStrings.xml><?xml version="1.0" encoding="utf-8"?>
<sst xmlns="http://schemas.openxmlformats.org/spreadsheetml/2006/main" count="1935" uniqueCount="823">
  <si>
    <t>Оборудование</t>
  </si>
  <si>
    <t>HVL 310 A</t>
  </si>
  <si>
    <t>Гетероструктурный фотоэлектрический модуль</t>
  </si>
  <si>
    <t>Гетероструктурный фотоэлектрический модуль пиковой мощностью 310 Вт</t>
  </si>
  <si>
    <t>Инверторная станция</t>
  </si>
  <si>
    <t>Инверторная станция Victron 0,5 кВт в составе:</t>
  </si>
  <si>
    <t>2.1.</t>
  </si>
  <si>
    <t>Victron MultiPlus 48/800/9 (PMP481800000)</t>
  </si>
  <si>
    <t xml:space="preserve">инвертор с интегрированным зарядным устройством </t>
  </si>
  <si>
    <t>инвертор с интегрированным зарядным устройством Victron MultiPlus 48/800/9</t>
  </si>
  <si>
    <t>2.2.</t>
  </si>
  <si>
    <t>Victron SmartSolar Charge Controller MPPT 150/35 (SCC115035210)</t>
  </si>
  <si>
    <t xml:space="preserve">контроллер для подключения ФЭМ </t>
  </si>
  <si>
    <t>контроллер для подключения ФЭМ Victron SmartSolar Charge Controller MPPT 150/35</t>
  </si>
  <si>
    <t>2.3.</t>
  </si>
  <si>
    <t>Victron Color Control GX (BPP000300100R)</t>
  </si>
  <si>
    <t xml:space="preserve">монитор </t>
  </si>
  <si>
    <t>монитор Victron Color Control GX</t>
  </si>
  <si>
    <t>2.4.</t>
  </si>
  <si>
    <t>Victron 12V/165Ah Gel Deep Cycle Batt (BAT412151104)</t>
  </si>
  <si>
    <t xml:space="preserve">аккумуляторная батарея </t>
  </si>
  <si>
    <t>аккумуляторная батарея Victron 12V/165Ah Gel Deep Cycle Batt</t>
  </si>
  <si>
    <t>2.5.</t>
  </si>
  <si>
    <t>Victron Battery Balancer (BBA000100100)</t>
  </si>
  <si>
    <t xml:space="preserve">балансер АКБ </t>
  </si>
  <si>
    <t>балансер АКБ Victron Battery Balancer</t>
  </si>
  <si>
    <t>2.6.</t>
  </si>
  <si>
    <t>кабельное и коммутационное оборудование</t>
  </si>
  <si>
    <t>2.7.</t>
  </si>
  <si>
    <t>шкаф для размещения оборудования</t>
  </si>
  <si>
    <t>2.8.</t>
  </si>
  <si>
    <t>система крепления ФЭМ</t>
  </si>
  <si>
    <t xml:space="preserve">ИТОГО стоимость оборудования </t>
  </si>
  <si>
    <t>№</t>
  </si>
  <si>
    <t>Код/артикул оборудования</t>
  </si>
  <si>
    <t>Описание</t>
  </si>
  <si>
    <t xml:space="preserve">Наименование  </t>
  </si>
  <si>
    <t>Кол-во</t>
  </si>
  <si>
    <r>
      <t xml:space="preserve">ЛОТ1. </t>
    </r>
    <r>
      <rPr>
        <b/>
        <sz val="12"/>
        <color theme="1"/>
        <rFont val="Arial Narrow"/>
        <family val="2"/>
        <charset val="204"/>
      </rPr>
      <t xml:space="preserve">Альтернативный источник энергии. Солнечная панель. </t>
    </r>
  </si>
  <si>
    <t xml:space="preserve">Мощность нагрузки - 1  кВт </t>
  </si>
  <si>
    <t>Victron 1,0 кВт</t>
  </si>
  <si>
    <t>Инверторная станция Victron 1,0 кВт в составе:</t>
  </si>
  <si>
    <t>SmartSolar Charge Controller MPPT 150/45 (SCC115045310)</t>
  </si>
  <si>
    <t>контроллер для подключения ФЭМ SmartSolar Charge Controller MPPT 150/45</t>
  </si>
  <si>
    <t xml:space="preserve">аккумуляторные батареи </t>
  </si>
  <si>
    <t>аккумуляторные батареи Victron 12V/165Ah Gel Deep Cycle Batt</t>
  </si>
  <si>
    <r>
      <t>ЛОТ2.</t>
    </r>
    <r>
      <rPr>
        <b/>
        <sz val="12"/>
        <color theme="1"/>
        <rFont val="Arial Narrow"/>
        <family val="2"/>
        <charset val="204"/>
      </rPr>
      <t xml:space="preserve"> Альтернативный источник энергии. Солнечная панель. </t>
    </r>
  </si>
  <si>
    <t xml:space="preserve">Мощность нагрузки - 3  кВт </t>
  </si>
  <si>
    <t>Victron 3,0 кВт</t>
  </si>
  <si>
    <t>Инверторная станция Victron 3,0 кВт в составе:</t>
  </si>
  <si>
    <t>Victron MultiPlus 48/1200/13-16 230V VE.Bus (PMP482120000)</t>
  </si>
  <si>
    <t>инвертор с интегрированным зарядным устройством Victron MultiPlus 48/1200/13-16 230V VE.Bus</t>
  </si>
  <si>
    <t>Victron OPZV600 (BAT702601260)</t>
  </si>
  <si>
    <t>аккумуляторные батареи Victron OPZV600</t>
  </si>
  <si>
    <r>
      <t xml:space="preserve">ЛОТ2. </t>
    </r>
    <r>
      <rPr>
        <b/>
        <sz val="12"/>
        <color theme="1"/>
        <rFont val="Arial Narrow"/>
        <family val="2"/>
        <charset val="204"/>
      </rPr>
      <t xml:space="preserve">Альтернативный источник энергии. Солнечная панель. </t>
    </r>
  </si>
  <si>
    <t xml:space="preserve">Мощность нагрузки - 5  кВт </t>
  </si>
  <si>
    <t>Victron 5,0 кВт</t>
  </si>
  <si>
    <t>Инверторная станция в составе:</t>
  </si>
  <si>
    <t>Инверторная станция Victron 5,0 кВт в составе:</t>
  </si>
  <si>
    <t>MultiPlus 48/3000/35-16 (PMP483020001)</t>
  </si>
  <si>
    <t>инвертор с интегрированным зарядным устройством</t>
  </si>
  <si>
    <t>инвертор с интегрированным зарядным устройством MultiPlus 48/3000/35-16</t>
  </si>
  <si>
    <t>аккумуляторные батареи</t>
  </si>
  <si>
    <t>аккумуляторные батареи OPZV600 2v</t>
  </si>
  <si>
    <t>кВт</t>
  </si>
  <si>
    <t>цепочек по</t>
  </si>
  <si>
    <t>ФЭМ</t>
  </si>
  <si>
    <t>ЗАДАННЫЕ ЗНАЧЕНИЯ</t>
  </si>
  <si>
    <t>ед. изм</t>
  </si>
  <si>
    <t xml:space="preserve">Кол-во </t>
  </si>
  <si>
    <t>Цена за шт, руб.
(без НДС)</t>
  </si>
  <si>
    <t>Себестоимость без НДС, руб.</t>
  </si>
  <si>
    <t>Уд. стоимость</t>
  </si>
  <si>
    <t>Контрагент</t>
  </si>
  <si>
    <t>Мощность ФЭС, Вт</t>
  </si>
  <si>
    <t>шт</t>
  </si>
  <si>
    <t>Курс USD</t>
  </si>
  <si>
    <t>Курс евро</t>
  </si>
  <si>
    <t>м</t>
  </si>
  <si>
    <t>АКБ GEL 12-150</t>
  </si>
  <si>
    <t>кВт*ч</t>
  </si>
  <si>
    <t>Поддоны под АКБ</t>
  </si>
  <si>
    <t>Итого за оборудование</t>
  </si>
  <si>
    <t>Разработка КД</t>
  </si>
  <si>
    <t xml:space="preserve">Доставка </t>
  </si>
  <si>
    <t>СМР+ПНР+ непредвиденные затраты (включая доп кабель, жгуты для АКБ)</t>
  </si>
  <si>
    <t>%</t>
  </si>
  <si>
    <t>СЕБЕСТОИМОСТЬ, руб. без НДС:</t>
  </si>
  <si>
    <t>РЕНТАБЕЛЬНОСТЬ</t>
  </si>
  <si>
    <t>ИТОГО с учетом рентабельности, руб. без НДС:</t>
  </si>
  <si>
    <t>НДС 18%, руб.</t>
  </si>
  <si>
    <t>ИТОГО (с НДС), руб.</t>
  </si>
  <si>
    <t>Доставка EU</t>
  </si>
  <si>
    <t>маш.</t>
  </si>
  <si>
    <t>Итого EU</t>
  </si>
  <si>
    <t>Доставка RU</t>
  </si>
  <si>
    <t>Соединители; (шт)</t>
  </si>
  <si>
    <t>Модули токопленочные 20 шт в паллете и 33 паллет в машине</t>
  </si>
  <si>
    <t xml:space="preserve">Металл 3 машины на 1 МВт </t>
  </si>
  <si>
    <t>32 инвертора на фуру</t>
  </si>
  <si>
    <t>Кабель переменного тока</t>
  </si>
  <si>
    <t>Комплект активной вентиляции (для генратора 4-8кВт, воздушного охлаждения)</t>
  </si>
  <si>
    <t>Контейнер для установки САЭС (изотермический) (CSV-4-8D/GF/V6SM)</t>
  </si>
  <si>
    <t>Комплект №С4</t>
  </si>
  <si>
    <t>Комплект №С5</t>
  </si>
  <si>
    <t>Фотоэлектрические модули JAM60S01/PR 310 Вт</t>
  </si>
  <si>
    <t>Опорные конструкции*</t>
  </si>
  <si>
    <t>** без учета таможенного оформления и логистики</t>
  </si>
  <si>
    <t>Обвязка (провода) сечение 2,5 мм+коннектора пара</t>
  </si>
  <si>
    <t>Наценка</t>
  </si>
  <si>
    <t>ИТОГО с учетом наценки, руб. без НДС:</t>
  </si>
  <si>
    <t>АКБ GEL 12-100</t>
  </si>
  <si>
    <t>АКБ GEL 12-200</t>
  </si>
  <si>
    <t>* оценочно на крышу</t>
  </si>
  <si>
    <t xml:space="preserve"> Victron MultiPlus 48/3000/35-50**</t>
  </si>
  <si>
    <t xml:space="preserve"> Victron SmartSolar MPPT 250/60-MC4 **</t>
  </si>
  <si>
    <t>Комплект №А6 (выходная мощность 2400 Вт/ пик 6000 Вт) функция ИБП</t>
  </si>
  <si>
    <t>ГРЩ +комплектующие+защита</t>
  </si>
  <si>
    <t>BYD Battery-Box  10.0 **</t>
  </si>
  <si>
    <t>Venus GX **</t>
  </si>
  <si>
    <t>Комплект EasySolar 1.2 (выходная мощность 1300Вт/ пик 3000 Вт) функция ИБП</t>
  </si>
  <si>
    <t>BYD Battery-Box  13.8 **</t>
  </si>
  <si>
    <t xml:space="preserve"> Victron EasySolar 48/3000/35 MPPT 150/70 Color Control**</t>
  </si>
  <si>
    <t xml:space="preserve"> Victron EasySolar 24/1600/40-16 MPPT 100/50 Color control**</t>
  </si>
  <si>
    <t>Комплектующие</t>
  </si>
  <si>
    <t>Комплект Easy Solar 3.0 (выходная мощность 2400 Вт/ пик 6000 Вт) функция ИБП</t>
  </si>
  <si>
    <t xml:space="preserve"> Victron EasySolar 48/5000/70 MPPT 150/100 Color Control**</t>
  </si>
  <si>
    <t>Комплект Easy Solar 5.0 (выходная мощность 4000 Вт/ пик 10000 Вт) функция ИБП</t>
  </si>
  <si>
    <t>цепочек</t>
  </si>
  <si>
    <t>ФЭМ в цепочке</t>
  </si>
  <si>
    <t>Фотоэлектрические модули Хевел, HJT-310, 310 Вт</t>
  </si>
  <si>
    <t>Инверторный модуль 4.5кВт/ 1600Ач (SV- 5.0/48V-1600D)</t>
  </si>
  <si>
    <t>СВЕТон</t>
  </si>
  <si>
    <t>Панель управления Color Control GX</t>
  </si>
  <si>
    <t>компл.</t>
  </si>
  <si>
    <t>Дизель генератор TOYO TG-21 SBS16SS 15.6 кВт 220В</t>
  </si>
  <si>
    <t>Контроллер заряда BlueSolar MPPT 150/85 Victron</t>
  </si>
  <si>
    <t>Кабель солнечный 4,0 - соединитель 3,5м кабеля солнечных панелей (МС4 +/-), шт</t>
  </si>
  <si>
    <t>Кабель солнечный 6,0 - 15м(пара) подключения солнечных панелей к контроллеру (МС4 +/-), компл.</t>
  </si>
  <si>
    <t>MC4 Y-тройник F/MM (гнездо/штекер-штекер) (Multi-Contact)</t>
  </si>
  <si>
    <t>MC4 Y-тройник M/FF (штекер/гнездо-гнездо) (Multi-Contact)</t>
  </si>
  <si>
    <t>Система кондиционирования контейнера (без воздухообмена)</t>
  </si>
  <si>
    <t>Фильтр топливный TOYO TG-21SBS</t>
  </si>
  <si>
    <t>Фильтр масляный TOYO TG-21SBS</t>
  </si>
  <si>
    <t>Фильтр воздушный  TOYO TG-21SBS</t>
  </si>
  <si>
    <t>Прокладка клапанной крышки TOYO TG-21SBS</t>
  </si>
  <si>
    <t>Ремень приводной TOYO TG-21SBS</t>
  </si>
  <si>
    <t>Материалы расходные, прочие</t>
  </si>
  <si>
    <t>Доставка РФ Хевел</t>
  </si>
  <si>
    <t>Сборка  (СВЕТон)</t>
  </si>
  <si>
    <t>Шеф-монтаж Хевел</t>
  </si>
  <si>
    <t>Непредвиденные затраты</t>
  </si>
  <si>
    <t>Наценка на ФЭМ</t>
  </si>
  <si>
    <t>Цена ФЭМ с учетом наценки</t>
  </si>
  <si>
    <t>Наценка на СМР, ПНР, доставка, оборудовнаие кроме ФЭМ</t>
  </si>
  <si>
    <t>Цена СМР, ПНР, доставка, оборудовнаие с учетом наценки</t>
  </si>
  <si>
    <t>,</t>
  </si>
  <si>
    <t>Себестоимость</t>
  </si>
  <si>
    <t>Стоимость ФЭМ /Вт</t>
  </si>
  <si>
    <t>Цена продажи</t>
  </si>
  <si>
    <t>прибыль по проекту</t>
  </si>
  <si>
    <t>Рентабельность сделки, %</t>
  </si>
  <si>
    <t>АГЭУ на 8 кВт, (2,4 кВт ФЭМ) СВЕТОН</t>
  </si>
  <si>
    <t>MultiPlus 48/5000/70-100</t>
  </si>
  <si>
    <t>Color Control GX</t>
  </si>
  <si>
    <t>BlueSolar MPPT 150/85-MC4</t>
  </si>
  <si>
    <t>Мощность ФЭС</t>
  </si>
  <si>
    <t>Мощность фотоэлектрического модуля</t>
  </si>
  <si>
    <t>Вт</t>
  </si>
  <si>
    <r>
      <t xml:space="preserve">Емкость накопителя </t>
    </r>
    <r>
      <rPr>
        <b/>
        <sz val="12"/>
        <color theme="1"/>
        <rFont val="Times New Roman"/>
        <family val="1"/>
        <charset val="204"/>
      </rPr>
      <t>требуемая</t>
    </r>
  </si>
  <si>
    <t>Для низковольтных накопителей!</t>
  </si>
  <si>
    <t>Емкость одного аккумулятора</t>
  </si>
  <si>
    <t>Ач</t>
  </si>
  <si>
    <t>Напряжение ячейки номинальное</t>
  </si>
  <si>
    <t>В</t>
  </si>
  <si>
    <t>Максимальное количество параллельно соединенных ячеек в стринге</t>
  </si>
  <si>
    <t>Максимальное количество последовательно соединенных ячеек в стринге</t>
  </si>
  <si>
    <t>Сколько необхожимо стрингов</t>
  </si>
  <si>
    <t>Емкость накопителя, получаемая в итоге</t>
  </si>
  <si>
    <t>Цена за ампер-час</t>
  </si>
  <si>
    <t>$/Ач</t>
  </si>
  <si>
    <t>с НДС!</t>
  </si>
  <si>
    <t>Количество параллельно соединенных ячеек в стринге</t>
  </si>
  <si>
    <t>Количество последовательно соединенных ячеек в составе стринга</t>
  </si>
  <si>
    <t>Напряжение DC стринга, максимальное, исходя из необходимой емкости</t>
  </si>
  <si>
    <t>% от стоимости оборудования</t>
  </si>
  <si>
    <t>$</t>
  </si>
  <si>
    <t>Опорная конструкциия с креплением на контейнере; (шт)</t>
  </si>
  <si>
    <t>€</t>
  </si>
  <si>
    <t>Зарядное устройство Victron BlueSolar 150/70 MPPT Can-bus</t>
  </si>
  <si>
    <t>коммуникационный центр Venus GX</t>
  </si>
  <si>
    <t>Автономный инвертор Victron Quattro 48/10000/140-100/100 3ф конфигурация</t>
  </si>
  <si>
    <t>КШПТ для параллельного соединения ФЭМ</t>
  </si>
  <si>
    <t>BMS 1го уровня (ячейка)</t>
  </si>
  <si>
    <t>BMS 2го уровня (блок)</t>
  </si>
  <si>
    <t>BMS 3го уровня (батарея)</t>
  </si>
  <si>
    <t>Датчики тока</t>
  </si>
  <si>
    <t xml:space="preserve"> Кронштейны для установки плат на ячейки</t>
  </si>
  <si>
    <t>Комплект ответных частей (разъемы и прочая эл-тех продукция)</t>
  </si>
  <si>
    <t>компл</t>
  </si>
  <si>
    <t>Контейнер морской 20 футов утепленный для всего</t>
  </si>
  <si>
    <t>ДГУ</t>
  </si>
  <si>
    <t>Обвязка (солнечные провода)</t>
  </si>
  <si>
    <t>м/п</t>
  </si>
  <si>
    <t>Щитовое оборудование (ГРЩ, ЩИ)</t>
  </si>
  <si>
    <t>Кабельная продукция (силовой кабель, контрольный, заземление, муфты)</t>
  </si>
  <si>
    <t xml:space="preserve">комплект </t>
  </si>
  <si>
    <t>Винтовые сваи 1.5 м</t>
  </si>
  <si>
    <t>Доставка РФ до перевалочной базы (ж/д, авто)</t>
  </si>
  <si>
    <t>Проектирование</t>
  </si>
  <si>
    <t>Сетевой инвертор</t>
  </si>
  <si>
    <t>Расчет доставки:</t>
  </si>
  <si>
    <t xml:space="preserve">Сетевой инвертор </t>
  </si>
  <si>
    <t>Итого по доставке по Европе</t>
  </si>
  <si>
    <t xml:space="preserve">Фотоэлектрические модули полискристалл 250 Вт </t>
  </si>
  <si>
    <t>Опорные конструкции</t>
  </si>
  <si>
    <t>Кабель постоянного тока (сечение 6 кв.мм)</t>
  </si>
  <si>
    <t>Коннекторы MC4</t>
  </si>
  <si>
    <t>Щитовое оборудование</t>
  </si>
  <si>
    <t>Контроллеры, КШПТ</t>
  </si>
  <si>
    <t>Контейнер с ДГУ</t>
  </si>
  <si>
    <t>Контейнеры прочие</t>
  </si>
  <si>
    <t>Ограждение</t>
  </si>
  <si>
    <t xml:space="preserve">Итого доставка в РФ </t>
  </si>
  <si>
    <t>Модули поликристалл 25 шт в паллете и 16 паллет в машине</t>
  </si>
  <si>
    <t>Ботуобинский: 49804 руб./т, 330г/кВтч.</t>
  </si>
  <si>
    <t>Непа: 49378 руб./т, 330 г/кВтч.</t>
  </si>
  <si>
    <t>Ужман: 49378 руб./т, 263 г/кВтч.</t>
  </si>
  <si>
    <t>CAPEX Непа</t>
  </si>
  <si>
    <t>Базовая экономика</t>
  </si>
  <si>
    <t>Выработка, кВт-ч в год</t>
  </si>
  <si>
    <t>Затраты на топливо, руб в год</t>
  </si>
  <si>
    <t>Экономика АГЭУ</t>
  </si>
  <si>
    <t>Вырабокта на ФЭС, кВт-ч</t>
  </si>
  <si>
    <t>Выработка на ДЭС, кВтч-</t>
  </si>
  <si>
    <t>Экономия</t>
  </si>
  <si>
    <t>срок окупаемости простой</t>
  </si>
  <si>
    <t>Зарядное устройство Victron BlueSolar 150/85 MPPT Can-bus</t>
  </si>
  <si>
    <t>Автономный инвертор Victron Quattro 48/15000/200-100/100 3ф конфигурация</t>
  </si>
  <si>
    <t>Контейнер морской 20 футов утепленный для оборудования</t>
  </si>
  <si>
    <t>Контейнер морской 20 футов обычный</t>
  </si>
  <si>
    <t>Итого, шт</t>
  </si>
  <si>
    <t>Наименование</t>
  </si>
  <si>
    <t>Комплект №C1 (однофазный 1 MPPT)</t>
  </si>
  <si>
    <t>Комплект №C2 (однофазный 1 MPPT)</t>
  </si>
  <si>
    <t>Комплект №C3 (однофазный 2 MPPT)</t>
  </si>
  <si>
    <t>Комплект №C4 (трехфазный 2 MPPT)</t>
  </si>
  <si>
    <t>Комплект №C5 (трехфазный 2 MPPT)</t>
  </si>
  <si>
    <t>Коммуникационный центр Venus GX</t>
  </si>
  <si>
    <t>Проект</t>
  </si>
  <si>
    <t>Комплект</t>
  </si>
  <si>
    <t>Комплекты для розницы</t>
  </si>
  <si>
    <t>Victron Phoenix 12/250VE.Direct Schuko</t>
  </si>
  <si>
    <t xml:space="preserve">Victron SmartSolar Charge Controller MPPT 100/20 </t>
  </si>
  <si>
    <t>Victron MultiPlus 12/500/20-16**</t>
  </si>
  <si>
    <t>Victron MultiPlus 24/1200/25-16</t>
  </si>
  <si>
    <t xml:space="preserve">Victron SmartSolar Charge Controller MPPT 100/50 </t>
  </si>
  <si>
    <t>Victron MultiPlus C 24/2000/50-30**</t>
  </si>
  <si>
    <t>Victron SmartSolar MPPT 150/60-MC4</t>
  </si>
  <si>
    <t>Victron MultiPlus 48/3000/35-50</t>
  </si>
  <si>
    <t xml:space="preserve">Victron SmartSolar MPPT 250/60-MC4 </t>
  </si>
  <si>
    <t>Victron EasySolar 24/1600/40-16 MPPT 100/50 Color control</t>
  </si>
  <si>
    <t>Victron EasySolar 48/3000/35 MPPT 150/70 Color Control</t>
  </si>
  <si>
    <t>Victron EasySolar 48/5000/70 MPPT 150/100 Color Control</t>
  </si>
  <si>
    <t>Аксессуары</t>
  </si>
  <si>
    <t>Interface MK3-USB (VE.Bus to USB)</t>
  </si>
  <si>
    <t>VE.Direct Bluetooth Smart dongle</t>
  </si>
  <si>
    <t>VE.Direct Cable 1,8m</t>
  </si>
  <si>
    <t>RJ45 UTP Cable 1,8 m</t>
  </si>
  <si>
    <t>Оборудование VICTRON (автономные системы)</t>
  </si>
  <si>
    <t>Оборудование Goodwee (сетевые системы)</t>
  </si>
  <si>
    <t>Инвертор GW1000-NS</t>
  </si>
  <si>
    <t>Инвертор GW3000NS</t>
  </si>
  <si>
    <t>Инвертор GW5000D-NS</t>
  </si>
  <si>
    <t>Инвертор GW10KN-DT</t>
  </si>
  <si>
    <t>Инвертор GW15KN-DT</t>
  </si>
  <si>
    <t>Оборудование свинцово-кислотные АКБ</t>
  </si>
  <si>
    <t>Оборудование литий-ионные АКБ BYD</t>
  </si>
  <si>
    <t xml:space="preserve">BYD Battery-Box  10.0 </t>
  </si>
  <si>
    <t xml:space="preserve">BYD Battery-Box  13.8 </t>
  </si>
  <si>
    <t>Статус (уточнить у деп.закупки)</t>
  </si>
  <si>
    <t>Комплектующие, кабельно-проводниковая продукция, коммутационное оборудование</t>
  </si>
  <si>
    <t>ГРЩ</t>
  </si>
  <si>
    <t>на стадии заключения договора. поставка 28.02.</t>
  </si>
  <si>
    <t>Упаковка</t>
  </si>
  <si>
    <t>Разработка решения. Выбор поставщика после заключения последнего договора на оборудование</t>
  </si>
  <si>
    <t>OEM ФЭМ</t>
  </si>
  <si>
    <t>400 кВт</t>
  </si>
  <si>
    <t>Выбор поставщика. Поставка на склад 01.06</t>
  </si>
  <si>
    <t>Монокристаллические ФЭМ PERC 310-330 Вт</t>
  </si>
  <si>
    <t>Обвязка (провода) сечение 2,5 мм</t>
  </si>
  <si>
    <t>MC 4 коннекторы, пара</t>
  </si>
  <si>
    <t>3000 м</t>
  </si>
  <si>
    <t xml:space="preserve">Комплекты для розницы </t>
  </si>
  <si>
    <t>50 кВт</t>
  </si>
  <si>
    <t>Поставщик определен.
Дата заключения договора 31.01. Поставка на склад Хевел 28.02</t>
  </si>
  <si>
    <t>Монокристаллические ФЭМ 100 Вт</t>
  </si>
  <si>
    <t>Комплект А2</t>
  </si>
  <si>
    <t>Комплект А3</t>
  </si>
  <si>
    <t>Комплект А4</t>
  </si>
  <si>
    <t>Комплект А5</t>
  </si>
  <si>
    <t>Комплект А6</t>
  </si>
  <si>
    <t>Комплект С1</t>
  </si>
  <si>
    <t>Комплект С2</t>
  </si>
  <si>
    <t>Комплект С3</t>
  </si>
  <si>
    <t>Комплект А4 (альтернатива)</t>
  </si>
  <si>
    <t>Комплект А6 (альтернатива)</t>
  </si>
  <si>
    <t>Согласовать передачу от АСТ</t>
  </si>
  <si>
    <t>Комплект  (альтернатива)</t>
  </si>
  <si>
    <t>Договор заключен.
Размещен заказ, ожидается отгрузка 25.01.2019
Поставка на склад Хевел 20.02.2019</t>
  </si>
  <si>
    <t>Выбор поставщика.
Поставка на склад Хевел 15.03</t>
  </si>
  <si>
    <t>Поставщик определен.
Плановая дата заключения договора с BYD 31.01.2019
Поставка на склад Хевел 15.03</t>
  </si>
  <si>
    <t>Выбор поставщика. Поставка на склад 15.03</t>
  </si>
  <si>
    <t>Выбор поставщика. поставка 15.03.</t>
  </si>
  <si>
    <t>Комплект С4</t>
  </si>
  <si>
    <t>Комплект С5</t>
  </si>
  <si>
    <t>Поставщик</t>
  </si>
  <si>
    <t xml:space="preserve">Наименование товара </t>
  </si>
  <si>
    <t xml:space="preserve">Условное обозначение </t>
  </si>
  <si>
    <t xml:space="preserve">Коли-
чество </t>
  </si>
  <si>
    <t xml:space="preserve">Цена </t>
  </si>
  <si>
    <t>Стоимость товаров  без налога - всего</t>
  </si>
  <si>
    <t>Налоговая ставка</t>
  </si>
  <si>
    <t>Сумма налога</t>
  </si>
  <si>
    <t>Стоимость товаров  с налогом - всего</t>
  </si>
  <si>
    <t>Стоимость всего товара без НДС</t>
  </si>
  <si>
    <t>Цена за ед.товара + доставка + НДС</t>
  </si>
  <si>
    <t>Процент наценки за доставку</t>
  </si>
  <si>
    <t>Расходы на доставку</t>
  </si>
  <si>
    <t>ООО Мега Групп</t>
  </si>
  <si>
    <t>0020082 Распределительное устройство AlpenBox (РЩ комплект С1)</t>
  </si>
  <si>
    <t>0020083 Распределительное устройство AlpenBox (РЩ комплект С2)</t>
  </si>
  <si>
    <t>0020084 Распределительное устройство AlpenBox (РЩ комплект С3)</t>
  </si>
  <si>
    <t>0020085 Распределительное устройство AlpenBox (РЩ комплект С4)</t>
  </si>
  <si>
    <t>0020086 Распределительное устройство AlpenBox (РЩ комплект С5)</t>
  </si>
  <si>
    <t>5601004.NR500 TOPSOLAR PV H1Z2Z2-K 1X4 (черный) 1.5/1.5 kVdc nXs mm2 EN50618 Кабель гибкий износостойкий для фотогальванических электрических модулей и установок Top Cable</t>
  </si>
  <si>
    <t>5601004.RR500 TOPSOLAR PV H1Z2Z2-K 1X4 (красный) 1.5/1.5 kVdc nXs mm2 EN50618 Кабель гибкий износостойкий для фотогальванических электрических модулей и установок Top Cable</t>
  </si>
  <si>
    <t>131N002MR100 TOPFLEX V-K H07V-K 1*2.5 Провод монтажный гибкий черный Top Cable</t>
  </si>
  <si>
    <t>131R002MR100 TOPFLEX V-K H07V-K 1*2.5 Провод монтажный гибкий красный Top Cable</t>
  </si>
  <si>
    <t>131N006.R100 TOPFLEX V-K H07V-K 1*6 Провод монтажный гибкий черный Top Cable</t>
  </si>
  <si>
    <t>131R006.R100 TOPFLEX V-K H07V-K 1*6 Провод монтажный гибкий красный Top Cable</t>
  </si>
  <si>
    <t>131N016.R100 TOPFLEX V-K H07V-K 1*16 Провод монтажный гибкий черный Top Cable</t>
  </si>
  <si>
    <t>131R016.R100 TOPFLEX V-K H07V-K 1*16 Провод монтажный гибкий красный Top Cable</t>
  </si>
  <si>
    <t>131N025.R100 TOPFLEX V-K H07V-K 1*25 Провод монтажный гибкий черный Top Cable</t>
  </si>
  <si>
    <t>131R025.R100 TOPFLEX V-K H07V-K 1*25 Провод монтажный гибкий красный Top Cable</t>
  </si>
  <si>
    <t>131N035 TOPFLEX V-K H07V-K 1*35 Провод монтажный гибкий черный Top Cable</t>
  </si>
  <si>
    <t>131R035 TOPFLEX V-K H07V-K 1*35 Провод монтажный гибкий красный Top Cable</t>
  </si>
  <si>
    <t>131N050 TOPFLEX V-K H07V-K 1*50 Провод монтажный гибкий черный Top Cable</t>
  </si>
  <si>
    <t>131R050 TOPFLEX V-K H07V-K 1*50  Провод монтажный гибкий красный Top Cable</t>
  </si>
  <si>
    <t>131N070 TOPFLEX V-K H07V-K 1*70 Провод монтажный гибкий черный Top Cable</t>
  </si>
  <si>
    <t>3003002M XTREM H07RN-F 0,6/1 kV 3G2.5 Кабель силовой гибкий с резиновой изоляцией Top Cable</t>
  </si>
  <si>
    <t>3003004G XTREM H07RN-F/DN-F 0,6/1 kV 3G4 Кабель силовой гибкий с резиновой изоляцией Top Cable</t>
  </si>
  <si>
    <t>3003006G XTREM H07RN-F 0,6/1 kV 3G6 Кабель силовой гибкий с резиновой изоляцией Top Cable</t>
  </si>
  <si>
    <t>3005006 XTREM H07RN-F 0,6/1kV 5G6 Кабель силовой гибкий с резиновой изоляцией Top Cable</t>
  </si>
  <si>
    <t>3005010 XTREM H07RN-F 0,6/1kV 5G10 Кабель силовой гибкий с резиновой изоляцией Top Cable</t>
  </si>
  <si>
    <t>Ultracell</t>
  </si>
  <si>
    <t>Батарея свинцово-кислотная 12В/100Ah</t>
  </si>
  <si>
    <t>шт.</t>
  </si>
  <si>
    <t>Батарея свинцово-кислотная 12В/150Ah</t>
  </si>
  <si>
    <t>Батарея свинцово-кислотная 12В/200Ah</t>
  </si>
  <si>
    <t>Батарея свинцово-кислотная 12В/55Ah</t>
  </si>
  <si>
    <t>GoodWe</t>
  </si>
  <si>
    <t>Децентрализованный инвертор GW1000-NS</t>
  </si>
  <si>
    <t>Децентрализованный инвертор GW15KN-DT</t>
  </si>
  <si>
    <t>Децентрализованный инвертор GW3000-NS</t>
  </si>
  <si>
    <t>Децентрализованный инвертор GW5000D-NS</t>
  </si>
  <si>
    <t>Децентрализованный инвертор GW8000-DT</t>
  </si>
  <si>
    <t>Комплект х10 Профнастил ХMR-VI-02</t>
  </si>
  <si>
    <t>Комплект х10 Фальц</t>
  </si>
  <si>
    <t>Комплект х18 Профнастил ХMR-VI-02</t>
  </si>
  <si>
    <t>Комплект х18 Фальц</t>
  </si>
  <si>
    <t>Комплект х2 Профнастил MR-VI-02</t>
  </si>
  <si>
    <t>Комплект х2 Фальц</t>
  </si>
  <si>
    <t>Комплект х34 Профнастил ХMR-VI-02</t>
  </si>
  <si>
    <t>Комплект х34 Фальц</t>
  </si>
  <si>
    <t>Комплект х4 Профнастил MR-VI-02</t>
  </si>
  <si>
    <t>Комплект х4 Фальц</t>
  </si>
  <si>
    <t>Комплект х51 Профнастил ХMR-VI-02</t>
  </si>
  <si>
    <t>Комплект х51 Фальц</t>
  </si>
  <si>
    <t>Комплект х6 Профнастил MR-VI-02</t>
  </si>
  <si>
    <t>Комплект х6 Фальц</t>
  </si>
  <si>
    <t>Комплект х8 Профнастил MR-VI-02</t>
  </si>
  <si>
    <t>Комплект х8 Фальц</t>
  </si>
  <si>
    <t xml:space="preserve">Контроллер заряда JUTA DY1024DU LED USB-выход 10A (12B, 24B) </t>
  </si>
  <si>
    <t xml:space="preserve">Контроллер заряда JUTA DY2024DU LED USB-выход 20A (12B, 24B) </t>
  </si>
  <si>
    <t>Полка 600*600</t>
  </si>
  <si>
    <t>10 комплектов</t>
  </si>
  <si>
    <t>Регулируемая опора</t>
  </si>
  <si>
    <t>Стойка 600 (2 мм)</t>
  </si>
  <si>
    <t>Уголок оцинкованный</t>
  </si>
  <si>
    <t>Усилитель полки 600</t>
  </si>
  <si>
    <t>Инвертор Multi 12/500/20-16 230V</t>
  </si>
  <si>
    <t>Инвертор MultiPlus 24/1200/25-16 230V VE.Bus</t>
  </si>
  <si>
    <t>Инвертор MultiPlus 48/3000/35-50 230V VE.Bus</t>
  </si>
  <si>
    <t>Инвертор MultiPlus Compact 24/2000/50-30  230V VE.Bus</t>
  </si>
  <si>
    <t>Инвертор Phoenix Inverter 12/250 230V VE.Direct SCHUKO</t>
  </si>
  <si>
    <t>Инвертор Quattro 48/10000/140-100/100 230V VE.Bus</t>
  </si>
  <si>
    <t>Инвертор Quattro 48/15000/200-100/100 230V VE.Bus</t>
  </si>
  <si>
    <t>Интерфейс MK3-USB (VE.Bus to USB)</t>
  </si>
  <si>
    <t>Кабель VE.Direct 1,8m</t>
  </si>
  <si>
    <t>Контроллер заряда BlueSolar MPPT 150/70 CAN-bus</t>
  </si>
  <si>
    <t>Контроллер заряда BlueSolar MPPT 150/85 CAN-bus</t>
  </si>
  <si>
    <t>Контроллер заряда SmartSolar MPPT 100/20 Retail</t>
  </si>
  <si>
    <t>Контроллер заряда SmartSolar MPPT 100/50</t>
  </si>
  <si>
    <t>Контроллер заряда SmartSolar MPPT 150/60-MC4</t>
  </si>
  <si>
    <t>Контроллер заряда SmartSolar MPPT 250/60-MC4</t>
  </si>
  <si>
    <t>Многофункциональное инверторное оборудование EasySolar 24/1600/40-16 230V MPPT 100/50</t>
  </si>
  <si>
    <t>Многофункциональное инверторное оборудование EasySolar 48/3000/35-50 МРРТ 150/70 Color Control</t>
  </si>
  <si>
    <t>Многофункциональное инверторное оборудование EasySolar 48/5000/70-100 МРРТ 150/100 Color Control</t>
  </si>
  <si>
    <t>Панель управления и мониторинга системы Venus GX</t>
  </si>
  <si>
    <t>Приставка VE.Direct BlueTooth Smart dongle</t>
  </si>
  <si>
    <t>Сетевой кабель RJ45 UTP 1,8m</t>
  </si>
  <si>
    <t>Контракт</t>
  </si>
  <si>
    <t>Экспедитор</t>
  </si>
  <si>
    <t>Назначение платежа</t>
  </si>
  <si>
    <t>Описание груза</t>
  </si>
  <si>
    <t>Количество мест</t>
  </si>
  <si>
    <t>Вес груза</t>
  </si>
  <si>
    <t>№ Счета</t>
  </si>
  <si>
    <t>Дата счета</t>
  </si>
  <si>
    <t xml:space="preserve">Сумма счета, вкл НДС </t>
  </si>
  <si>
    <t xml:space="preserve">Сумма счета, без НДС </t>
  </si>
  <si>
    <t>Спэйрс</t>
  </si>
  <si>
    <t>МиМ</t>
  </si>
  <si>
    <t>Авто</t>
  </si>
  <si>
    <t>Крышные крпеления</t>
  </si>
  <si>
    <t>ТорнадоЛого</t>
  </si>
  <si>
    <t>Скотч</t>
  </si>
  <si>
    <t>Метстелаж</t>
  </si>
  <si>
    <t>Стелажи</t>
  </si>
  <si>
    <t>Мега Групп</t>
  </si>
  <si>
    <t>Распределительные щиты</t>
  </si>
  <si>
    <t>Обеспечительный платёж</t>
  </si>
  <si>
    <t>АКБ</t>
  </si>
  <si>
    <t>Пошлина</t>
  </si>
  <si>
    <t>НДС</t>
  </si>
  <si>
    <t xml:space="preserve">ТО </t>
  </si>
  <si>
    <t>Victron</t>
  </si>
  <si>
    <t>Инверторы</t>
  </si>
  <si>
    <t>РФ</t>
  </si>
  <si>
    <t xml:space="preserve">Обеспечительный платёж </t>
  </si>
  <si>
    <t>Авиа</t>
  </si>
  <si>
    <t>Разъем гнездовой МС4, PV-KBT4/6ll-UR</t>
  </si>
  <si>
    <t>Разъем штекерный МС4, PV-KST4/6ll-UR</t>
  </si>
  <si>
    <t>Наконечник кольцевой НКИ 2.5- 6 синий</t>
  </si>
  <si>
    <t>Штойбли</t>
  </si>
  <si>
    <t>Разветвитель  гнездовой PV-AZB4 МС4</t>
  </si>
  <si>
    <t xml:space="preserve">Разветвитель штекерный PV-AZS4 MC4 </t>
  </si>
  <si>
    <t>Наконечник ТМЛ 16-8-6 луженый</t>
  </si>
  <si>
    <t>Наконечник ТМЛ 25-8-7 луженый</t>
  </si>
  <si>
    <t>Наконечник ТМЛ 35- 8-9 луженый</t>
  </si>
  <si>
    <t>Наконечник ТМЛ 50- 8-11 луженый</t>
  </si>
  <si>
    <t>Наконечник медный луженый ТМЛ 70-10-13</t>
  </si>
  <si>
    <t>0020077 Распределительное устройство AlpenBox (РЩ комплект А2)</t>
  </si>
  <si>
    <t>0020078 Распределительное устройство AlpenBox (РЩ комплект А3)</t>
  </si>
  <si>
    <t>0020079 Распределительное устройство AlpenBox (РЩ комплект А4)</t>
  </si>
  <si>
    <t>0020080 Распределительное устройство AlpenBox (РЩ комплект А5)</t>
  </si>
  <si>
    <t>0020081 Распределительное устройство AlpenBox (РЩ комплект А6)</t>
  </si>
  <si>
    <t>ИТОГО, руб.</t>
  </si>
  <si>
    <t>Розничная Цена без НДС, руб.</t>
  </si>
  <si>
    <t>ИТОГО, руб. без НДС</t>
  </si>
  <si>
    <t xml:space="preserve"> х1 Профнастил ХMR-VI-02</t>
  </si>
  <si>
    <t>Базовый</t>
  </si>
  <si>
    <t>Оптимальный</t>
  </si>
  <si>
    <t>Премиум</t>
  </si>
  <si>
    <t xml:space="preserve">Скидка на оборудование </t>
  </si>
  <si>
    <t>Скидка на металлоконструкции</t>
  </si>
  <si>
    <t>Себестоимость Базовый,           руб без НДС</t>
  </si>
  <si>
    <t>Себестоимость Оптимум,           руб без НДС</t>
  </si>
  <si>
    <t>Себестоимость Премиум,           руб без НДС</t>
  </si>
  <si>
    <t>Комплект в розничных ценах без НДС, руб.</t>
  </si>
  <si>
    <t>Базовый Комплект, руб без НДС</t>
  </si>
  <si>
    <t>Оптимум Комплект, руб без НДС</t>
  </si>
  <si>
    <t>Премиум Комплект, руб без НДС</t>
  </si>
  <si>
    <t>Упаковка 1</t>
  </si>
  <si>
    <t>Маржа ХРТ (вал)</t>
  </si>
  <si>
    <t>Доставка</t>
  </si>
  <si>
    <t>Скидка на доставку</t>
  </si>
  <si>
    <t>РРЦ Расчетная, руб с НДС</t>
  </si>
  <si>
    <t>Скидка на модули</t>
  </si>
  <si>
    <t>Комплект А1</t>
  </si>
  <si>
    <t>Пог.м</t>
  </si>
  <si>
    <t>Цена</t>
  </si>
  <si>
    <t>Итог, с НДС</t>
  </si>
  <si>
    <t>Паллетный борт</t>
  </si>
  <si>
    <t>Скотч+пвх пленка</t>
  </si>
  <si>
    <t>Метизы+скобы</t>
  </si>
  <si>
    <t>П/п лента+скобы</t>
  </si>
  <si>
    <t>Стрейч</t>
  </si>
  <si>
    <t>Гофрокороб 1725*1060*608</t>
  </si>
  <si>
    <t>Поддон</t>
  </si>
  <si>
    <t>Гофрокороб 1725*1060*890</t>
  </si>
  <si>
    <t>Итог</t>
  </si>
  <si>
    <t>Гофрокороб 1725*1060*1360</t>
  </si>
  <si>
    <t>на 2-х поддонах х2</t>
  </si>
  <si>
    <t>x2</t>
  </si>
  <si>
    <t>Гофрокороб 1725*1060*1477</t>
  </si>
  <si>
    <t>х2</t>
  </si>
  <si>
    <t>Модуль фотоэлектрический HVL 280</t>
  </si>
  <si>
    <t>РРЦ Текущая, руб с НДС</t>
  </si>
  <si>
    <t>Старана происхождения</t>
  </si>
  <si>
    <t>Хевел, РФ</t>
  </si>
  <si>
    <t>Мега Групп, Россия</t>
  </si>
  <si>
    <t>TOP CABLE, Испания</t>
  </si>
  <si>
    <t>Victron Energy, Малазия/КНР/Индия/Нидерланды</t>
  </si>
  <si>
    <t>Stauble, Швейцария</t>
  </si>
  <si>
    <t>Ultracell, Великобритания</t>
  </si>
  <si>
    <t>Модуль фотоэлектрический HVL 72 GG 360 Вт</t>
  </si>
  <si>
    <t>Модуль фотоэлектрический HVL 72 GG 365 Вт</t>
  </si>
  <si>
    <t>Модуль фотоэлектрический HVL 72 GG 370 Вт</t>
  </si>
  <si>
    <t>Модуль фотоэлектрический HVL 72 GG 375 Вт</t>
  </si>
  <si>
    <t>Модуль фотоэлектрический HVL 72 GG 380 Вт</t>
  </si>
  <si>
    <t>Модуль фотоэлектрический HVL 72 GG 385 Вт</t>
  </si>
  <si>
    <t>Модуль фотоэлектрический HVL 72 GG 390 Вт</t>
  </si>
  <si>
    <t>Модуль фотоэлектрический HVL 72 GG 395 Вт</t>
  </si>
  <si>
    <t>Модуль фотоэлектрический  HVL Flex 120Вт</t>
  </si>
  <si>
    <t>Модуль фотоэлектрический  HVL Flex 150Вт</t>
  </si>
  <si>
    <t>0020077 Распределительное устройство AlpenBox (РЩ комплект А1)</t>
  </si>
  <si>
    <t>0020078 Распределительное устройство AlpenBox (РЩ комплект А2)</t>
  </si>
  <si>
    <t>0020079 Распределительное устройство AlpenBox (РЩ комплект А3)</t>
  </si>
  <si>
    <t>0020080 Распределительное устройство AlpenBox (РЩ комплект А4)</t>
  </si>
  <si>
    <t>0020081 Распределительное устройство AlpenBox (РЩ комплект А5)</t>
  </si>
  <si>
    <t>0020103 Распределительное устройство AlpenBox (РЩ комплект А5, А6)</t>
  </si>
  <si>
    <t>5601006.NR500 TOPSOLAR PV H1Z2Z2-K 1X6 (черный)1.5/1.5 kVdc nXs mm2 Кабель гибкий износостойкий для фотогальванических электрических модулей и установок Top Cable</t>
  </si>
  <si>
    <t>5601006.RR500 TOPSOLAR PV H1Z2Z2-K 1X6 (красный)1.5/1.5 kVdc nXs mm2 Кабель гибкий износостойкий для фотогальванических электрических модулей и установок Top Cable</t>
  </si>
  <si>
    <t>3005016 XTREM H07RN-F 0,6/1kV 5G16 Кабель силовой гибкий с резиновой изоляцией Top Cable</t>
  </si>
  <si>
    <t>Батарея свинцово-кислотная 12В/250Ah</t>
  </si>
  <si>
    <t>Децентрализованный инвертор GW1000-XS</t>
  </si>
  <si>
    <t>Децентрализованный инвертор GW8K-DT</t>
  </si>
  <si>
    <t>Децентрализованный инвертор GW80K-MT</t>
  </si>
  <si>
    <t xml:space="preserve">Контроллер SEC 1000 grid </t>
  </si>
  <si>
    <t>Датчик тока CT90 (30 метров)</t>
  </si>
  <si>
    <t>Сетевой микроинвертор Envertech SEEYES EVT248</t>
  </si>
  <si>
    <t>Сетевой микроинвертор Envertech SEEYES EVT500</t>
  </si>
  <si>
    <t>Модуль мониторинга для микроинверторов Envertech SEEYES EnverBridge EVB201</t>
  </si>
  <si>
    <t>Контроллер заряда BlueSolar PWM-LSD&amp;USB 12/24V-5A</t>
  </si>
  <si>
    <t>Контроллер заряда BlueSolar MPPT 75/10 Retail</t>
  </si>
  <si>
    <t>Контроллер заряда SmartSolar MPPT 150/70-MC4 VE. Can</t>
  </si>
  <si>
    <t>Контроллер заряда BlueSolar MPPT 150/35</t>
  </si>
  <si>
    <t>Контроллер заряда BlueSolar MPPT 150/60-Tr</t>
  </si>
  <si>
    <t>Контроллер заряда BlueSolar MPPT 150/70-Tr</t>
  </si>
  <si>
    <t>Кабель VE Direct 5м</t>
  </si>
  <si>
    <t>Сетевой кабель RJ45 UTP 5м</t>
  </si>
  <si>
    <t>Интерфейс VE.Bus Smart dongle</t>
  </si>
  <si>
    <t>Шунт Shunt 1000A/50mV-0,5 / 2xM10</t>
  </si>
  <si>
    <t>Интерфейс VE Direct to USB</t>
  </si>
  <si>
    <t>Дисплей Smart Solal Pluggable Display</t>
  </si>
  <si>
    <t>Haitai Solar, КНР</t>
  </si>
  <si>
    <t>Vektor, КНР</t>
  </si>
  <si>
    <t>Батарея свинцово-кислотная 12В/100Ah, серия GL</t>
  </si>
  <si>
    <t>Счетчик электроэнергии Smart Meter GM1000</t>
  </si>
  <si>
    <t>Модуль фотоэлектрический HVL 305 Вт (1500В)</t>
  </si>
  <si>
    <t>Модуль фотоэлектрический HVL 310 Вт (1500В)</t>
  </si>
  <si>
    <t>Модуль фотоэлектрический HVL 315 Вт (1500В)</t>
  </si>
  <si>
    <t>Модуль фотоэлектрический HVL 320 Вт (1500В)</t>
  </si>
  <si>
    <t>Децентрализованный инвертор GW120K-HT</t>
  </si>
  <si>
    <t>Модуль фотоэлектрический HVL 325 Вт (1500В)</t>
  </si>
  <si>
    <t>Модуль фотоэлектрический HVL 330 Вт (1500В)</t>
  </si>
  <si>
    <t>XTREM H07RN-F 0,6/1kV 5G25 Кабель силовой гибкий с резиновой изоляцией Top Cable</t>
  </si>
  <si>
    <t>XTREM H07RN-F 0,6/1kV 5G35 Кабель силовой гибкий с резиновой изоляцией Top Cable</t>
  </si>
  <si>
    <t>XTREM H07RN-F 0,6/1kV 5G70 Кабель силовой гибкий с резиновой изоляцией Top Cable</t>
  </si>
  <si>
    <t>Батарея литий-железо-фосфатная Dyness B3 48V75Ah 3.6kWh</t>
  </si>
  <si>
    <t>Батарея литий-железо-фосфатная Powerbox-10/48V200Ah 9.6kWh</t>
  </si>
  <si>
    <t>Крепление для батареи B3</t>
  </si>
  <si>
    <t>Кабель силовой постоянного тока BAT-INV 2050mm, 25mm²</t>
  </si>
  <si>
    <t>Кабель силовой постоянного тока BAT-INV 1000 mm, 25mm²</t>
  </si>
  <si>
    <t>Счетчик электроэнергии НomeКit 1000 однофазный</t>
  </si>
  <si>
    <t>Dyness, КНР</t>
  </si>
  <si>
    <t>Прижим концевой 35мм (в сборе)</t>
  </si>
  <si>
    <t>Мини-рельс 300мм (в сборе, саморезы А2)</t>
  </si>
  <si>
    <t>B2 Solar, РФ</t>
  </si>
  <si>
    <t>Батарея литий-железо-фосфатная Powerdepot H5/48V100Ah 4.8kWh</t>
  </si>
  <si>
    <t>0020101 Распределительное устройство AlpenBox (РЩ комплект Н1)</t>
  </si>
  <si>
    <t>0020102 Распределительное устройство AlpenBox (РЩ комплект Н2)</t>
  </si>
  <si>
    <t>Goodwe, КНР</t>
  </si>
  <si>
    <t>SEEYES, КНР</t>
  </si>
  <si>
    <t>Распределительные устройства, кабель</t>
  </si>
  <si>
    <t>Крепеж</t>
  </si>
  <si>
    <t>Разъемы MC-4</t>
  </si>
  <si>
    <t>Профнастил х8 MR-VI-02С + заглушки</t>
  </si>
  <si>
    <t>MIBET ENERGY, КНР</t>
  </si>
  <si>
    <t>Боковой зажим для солнечных батарей толщиной 35 мм</t>
  </si>
  <si>
    <t>Заглушка профиля пластиковая</t>
  </si>
  <si>
    <t>Набор L-образное крепление</t>
  </si>
  <si>
    <t>Набор концевой зажим, регулируемый</t>
  </si>
  <si>
    <t>Набор центральный зажим, 35</t>
  </si>
  <si>
    <t>Солнечный кабель 1,9 м с коннекторами (под 1500 В)</t>
  </si>
  <si>
    <t>Батарея литий-железо-фосфатная Dyness A48100 48V100Ah 4.8kWh</t>
  </si>
  <si>
    <t>Батарея литий-железо-фосфатная Dyness NEW B3 48V75Ah 3.6kWh</t>
  </si>
  <si>
    <t>Крепление для батареи A48100 c DC-шинами</t>
  </si>
  <si>
    <t>Инверторы Goodwe, Envertech</t>
  </si>
  <si>
    <t>Инверторы Deye</t>
  </si>
  <si>
    <t>Децентрализованный инвертор Deye SUN-3.6K-G</t>
  </si>
  <si>
    <t>Децентрализованный инвертор Deye SUN-5K-G</t>
  </si>
  <si>
    <t>Децентрализованный инвертор Deye SUN-5K-G03</t>
  </si>
  <si>
    <t>Децентрализованный инвертор Deye SUN-10K-G03</t>
  </si>
  <si>
    <t>Децентрализованный инвертор Deye SUN-15K-G03</t>
  </si>
  <si>
    <t>Децентрализованный инвертор Deye SUN-20K-G03</t>
  </si>
  <si>
    <t>Децентрализованный инвертор Deye SUN-30K-G03</t>
  </si>
  <si>
    <t>Децентрализованный инвертор Deye SUN-50K-G03</t>
  </si>
  <si>
    <t>Счетчик электроэнергии Eastron SDM120CTM40MA</t>
  </si>
  <si>
    <t>Счетчик электроэнергии Eastron SDM630MCT 40MA</t>
  </si>
  <si>
    <t>Счетчик электроэнергии Eastron SDM630MCT-ETL</t>
  </si>
  <si>
    <t>Deye, КНР</t>
  </si>
  <si>
    <t>Longi, КНР</t>
  </si>
  <si>
    <t>Контроллер заряда BlueSolar MPPT 250/70-Tr VE Can</t>
  </si>
  <si>
    <t>Инверторы, контроллеры Victron</t>
  </si>
  <si>
    <t>Модуль фотоэлектрический HVL- 66 GBS 350 Вт</t>
  </si>
  <si>
    <t>Модуль фотоэлектрический HVL- 66 GBS 355 Вт</t>
  </si>
  <si>
    <t>Модуль фотоэлектрический HVL- 66 GBS 360 Вт</t>
  </si>
  <si>
    <t>Модуль фотоэлектрический HVL 144 НС GG-01 435 Вт</t>
  </si>
  <si>
    <t>Модуль фотоэлектрический HVL 144 НС GG-01 440 Вт</t>
  </si>
  <si>
    <t>Модуль фотоэлектрический HVL 144 НС GG-01 445 Вт</t>
  </si>
  <si>
    <t>Модуль фотоэлектрический HVL 144 НС GG-01 450 Вт</t>
  </si>
  <si>
    <t>Модуль фотоэлектрический HVL 144 НС GG-01 455 Вт</t>
  </si>
  <si>
    <t>Децентрализованный инвертор Deye SUN-100K-G03</t>
  </si>
  <si>
    <t>Портативное зарядное устройство 15Вт, 1 USB</t>
  </si>
  <si>
    <t>(руб)</t>
  </si>
  <si>
    <t>Энерговольт, РФ</t>
  </si>
  <si>
    <t>Энерговольт</t>
  </si>
  <si>
    <t>Сетевой фотоэлектрический инвертор ЭНЕРГОВОЛЬТ ЭВ-3K-G</t>
  </si>
  <si>
    <t>Сетевой фотоэлектрический инвертор ЭНЕРГОВОЛЬТ ЭВ-3.6K-G</t>
  </si>
  <si>
    <t>Сетевой фотоэлектрический инвертор ЭНЕРГОВОЛЬТ ЭВ-5K-G</t>
  </si>
  <si>
    <t xml:space="preserve"> </t>
  </si>
  <si>
    <t>Монтажный профиль (рейлинг) 6м</t>
  </si>
  <si>
    <t>Монтажный профиль (рейлинг) 3м</t>
  </si>
  <si>
    <t>Монтажный профиль 2(рейлинг) 2,1 м</t>
  </si>
  <si>
    <t xml:space="preserve"> РФ</t>
  </si>
  <si>
    <t>Передняя стойка с регулируемым углом наклона</t>
  </si>
  <si>
    <t>Задняя стойка с регулируемым углом наклона, 400мм</t>
  </si>
  <si>
    <t>Задняя стойка с регулируемым углом наклона, 600мм</t>
  </si>
  <si>
    <t>Задняя стойка с регулируемым углом наклона, 800мм</t>
  </si>
  <si>
    <t>ИС-12-1500 У</t>
  </si>
  <si>
    <t>ИС-24-1500</t>
  </si>
  <si>
    <t>ИС-24-1500 У</t>
  </si>
  <si>
    <t>ИС-24-1500 У1 (срок изготовления до 3-х месяцев)</t>
  </si>
  <si>
    <t>ИС-12-3000У</t>
  </si>
  <si>
    <t>ИС-12-3000М4</t>
  </si>
  <si>
    <t>ИС-24-3000У</t>
  </si>
  <si>
    <t>ИС-12-4500 У</t>
  </si>
  <si>
    <t xml:space="preserve">ИС1-12-1700 У </t>
  </si>
  <si>
    <t>ИС1-24-2000 У</t>
  </si>
  <si>
    <t>ИС1-24-2000 У3 (срок изготовления до 3-х месяцев)</t>
  </si>
  <si>
    <t xml:space="preserve">ИС1-24-6000  У </t>
  </si>
  <si>
    <t xml:space="preserve">ИС1-24-6000 У1  </t>
  </si>
  <si>
    <t>ИС1-24-6000 У2 (срок изготовления до 3-х месяцев)</t>
  </si>
  <si>
    <t>ИС1-75-1500</t>
  </si>
  <si>
    <t>ИС1-24-2000 Р</t>
  </si>
  <si>
    <t>ИС1-24-4000 Р</t>
  </si>
  <si>
    <t xml:space="preserve">ИС1-24-6000 Р  </t>
  </si>
  <si>
    <t>ИС1-200-2000</t>
  </si>
  <si>
    <t>ИС2-12-300</t>
  </si>
  <si>
    <t>ИС2-12-300 И</t>
  </si>
  <si>
    <t>ИС2-12-300 Г</t>
  </si>
  <si>
    <t>ИС2-12-300 Г3</t>
  </si>
  <si>
    <t>ИС2-12-300 Г4 (срок изготовления до 3-х месяцев)</t>
  </si>
  <si>
    <t>ИС2-12-300Г5 (срок изготовления до 3-х месяцев)</t>
  </si>
  <si>
    <t>ИС2-12-300 ГМ</t>
  </si>
  <si>
    <t>ИС2-12-300 П</t>
  </si>
  <si>
    <t>ИС2-24-300</t>
  </si>
  <si>
    <t xml:space="preserve">ИС2-24-300Г </t>
  </si>
  <si>
    <t>ИС2-24-300ГМ</t>
  </si>
  <si>
    <t>ИС2-24-300 Г3</t>
  </si>
  <si>
    <t xml:space="preserve">ИС2-24-300П </t>
  </si>
  <si>
    <t>ИС2-55-300 (срок изготовления до 3-х месяцев)</t>
  </si>
  <si>
    <t>ИС2-60-300 (срок изготовления до 3-х месяцев)</t>
  </si>
  <si>
    <t>ИС2-60-300 М2 (срок изготовления до 3-х месяцев)</t>
  </si>
  <si>
    <t>ИС2-60-300ГМ</t>
  </si>
  <si>
    <t>ИС2-55-300ГМ</t>
  </si>
  <si>
    <t>ИС2-75-300</t>
  </si>
  <si>
    <t>ИС2-75-300 ГМ</t>
  </si>
  <si>
    <t>ИС2-110-300 Г</t>
  </si>
  <si>
    <t>ИС2-110-300 ГМ</t>
  </si>
  <si>
    <t>ИС2-110-300  (срок изготовления до 3-х месяцев)</t>
  </si>
  <si>
    <t>ИС2-75-300 М3</t>
  </si>
  <si>
    <t>ИС2-75-300 М3.1 (срок изготовления до 3-х месяцев)</t>
  </si>
  <si>
    <t>ИС3-12-600М1 (срок изготовления до 3-х месяцев)</t>
  </si>
  <si>
    <t>ИС3-12-600М3</t>
  </si>
  <si>
    <t>ИС3-12-600М5</t>
  </si>
  <si>
    <t>ИС3-24-600М2.6 (срок изготовления до 3-х месяцев)</t>
  </si>
  <si>
    <t>ИС3-24-600М3</t>
  </si>
  <si>
    <t>ИС3-48-600М3</t>
  </si>
  <si>
    <t>ИС3-110-600 М3 (срок изготовления до 3-х месяцев)</t>
  </si>
  <si>
    <t>ИБПС-24-2000</t>
  </si>
  <si>
    <t xml:space="preserve">ИБПС 12-600NM </t>
  </si>
  <si>
    <t xml:space="preserve">ИБПС 12-600NM-1М </t>
  </si>
  <si>
    <t>ИБПС-12-600ML1</t>
  </si>
  <si>
    <t>ИБПС-12-600ML3</t>
  </si>
  <si>
    <t>ИБПС-12-1500ML1</t>
  </si>
  <si>
    <t>ИБПС-12-1500ML2</t>
  </si>
  <si>
    <t>ИБПС-12-1500ML3</t>
  </si>
  <si>
    <t>ИБПС 48-300N</t>
  </si>
  <si>
    <t xml:space="preserve">ИБП   1512  Ермак </t>
  </si>
  <si>
    <t xml:space="preserve">ИБП   1512М  Ермак </t>
  </si>
  <si>
    <t>ЗУ1-12</t>
  </si>
  <si>
    <t>ЗУ1-24</t>
  </si>
  <si>
    <t>ЗУ2-12</t>
  </si>
  <si>
    <t>ЗУ2-24</t>
  </si>
  <si>
    <t>ЗУ1-12-45</t>
  </si>
  <si>
    <t>Сибрезерв 300</t>
  </si>
  <si>
    <t>Сибрезерв 1000</t>
  </si>
  <si>
    <t>Сибрезерв 1000 М</t>
  </si>
  <si>
    <t xml:space="preserve">СибАмпер 12/24 </t>
  </si>
  <si>
    <t xml:space="preserve">СибАмпер 36/48  </t>
  </si>
  <si>
    <t>Пульт управления для всех модификаций</t>
  </si>
  <si>
    <t>Зарядная станция СЗ-24-200</t>
  </si>
  <si>
    <t>ИБП МИ 30-24</t>
  </si>
  <si>
    <t>ПН1-35</t>
  </si>
  <si>
    <t>ПН1-50</t>
  </si>
  <si>
    <t>ПН1-24-12-450</t>
  </si>
  <si>
    <t>ПН4-12-24 (срок изготовления до 3-х месяцев)</t>
  </si>
  <si>
    <t>ПН4-12-54 (срок изготовления до 3-х месяцев)</t>
  </si>
  <si>
    <t>ПН4-24-34</t>
  </si>
  <si>
    <t>ПН4-24-54 (срок изготовления до 3-х месяцев)</t>
  </si>
  <si>
    <t>ПН4-70-24</t>
  </si>
  <si>
    <t>ПН4-70-48</t>
  </si>
  <si>
    <t>ПН4-70-12+48</t>
  </si>
  <si>
    <t>ПН4-75-54</t>
  </si>
  <si>
    <t>ПН4-80-56</t>
  </si>
  <si>
    <t>ПН4-110-12</t>
  </si>
  <si>
    <t>ПН4-110-12М</t>
  </si>
  <si>
    <t>ПН4-110-54</t>
  </si>
  <si>
    <t>ПН4-110-110 (срок изготовления до 3-х месяцев)</t>
  </si>
  <si>
    <t>ПН4-110-54М1</t>
  </si>
  <si>
    <t>ПН6-220-48</t>
  </si>
  <si>
    <t>ПН7-220-48 Рое</t>
  </si>
  <si>
    <t>ПН4-48-12 ЖД</t>
  </si>
  <si>
    <t>ПН4-48-48 ЖД (срок изготовления до 3-х месяцев)</t>
  </si>
  <si>
    <t>ПН4-48-54  ЖД</t>
  </si>
  <si>
    <t>ПН4-75-12  ЖД</t>
  </si>
  <si>
    <t>ПН4-75-24  ЖД (срок изготовления до 3-х месяцев)</t>
  </si>
  <si>
    <t>ПН4-75-48  ЖД (срок изготовления до 3-х месяцев)</t>
  </si>
  <si>
    <t>ПН4-75-54  ЖД</t>
  </si>
  <si>
    <t>ПН4-75-75  ЖД</t>
  </si>
  <si>
    <t>ПН4-110-12 ЖД</t>
  </si>
  <si>
    <t>ПН4-110-24 ЖД</t>
  </si>
  <si>
    <t>ПН4-110-48 ЖД</t>
  </si>
  <si>
    <t>ПН4-110-54 ЖД</t>
  </si>
  <si>
    <t>ПН4-110-75 ЖД (срок изготовления до 3-х месяцев)</t>
  </si>
  <si>
    <t>ПН6-230-24ЖД</t>
  </si>
  <si>
    <t>СибВольт 1512У</t>
  </si>
  <si>
    <t>СибВольт 1524 У</t>
  </si>
  <si>
    <t>СибВольт 3012У</t>
  </si>
  <si>
    <t>СибВольт 3024 У</t>
  </si>
  <si>
    <t>СибВольт 4024У</t>
  </si>
  <si>
    <t>СибВольт 80 110 (срок изготовления до 3-х месяцев)</t>
  </si>
  <si>
    <t>СибВатт 312</t>
  </si>
  <si>
    <t>СибВатт 324</t>
  </si>
  <si>
    <t>СибВатт 1000</t>
  </si>
  <si>
    <t>СибВатт 1712</t>
  </si>
  <si>
    <t>СибВольт 1548 ЖД</t>
  </si>
  <si>
    <t>СибВольт 2075 ЖД</t>
  </si>
  <si>
    <t>СибВольт 20110 ЖД</t>
  </si>
  <si>
    <t>СибВольт 3048 ЖД</t>
  </si>
  <si>
    <t>СибВольт 4048 ЖД</t>
  </si>
  <si>
    <t>СибВольт 4075 ЖД</t>
  </si>
  <si>
    <t>СибВольт 40110 ЖД</t>
  </si>
  <si>
    <t>СибВольт 6048  ЖД</t>
  </si>
  <si>
    <t>СибВольт 6075   ЖД</t>
  </si>
  <si>
    <t>СибВольт 60110  ЖД</t>
  </si>
  <si>
    <t>СибВольт 1548 Li-ion</t>
  </si>
  <si>
    <t>СибВольт 3048 Li-ion</t>
  </si>
  <si>
    <t>СибВольт 4048 Li-ion</t>
  </si>
  <si>
    <t>СибВольт 6048 Li-ion (срок изготовления до 3-х месяцев)</t>
  </si>
  <si>
    <t xml:space="preserve">Модуль аккумулятора </t>
  </si>
  <si>
    <t xml:space="preserve">Модуль контроллера </t>
  </si>
  <si>
    <t xml:space="preserve">Модуль датчика тока </t>
  </si>
  <si>
    <t>Модуль коммутации</t>
  </si>
  <si>
    <t>Модуль аккумулятора LFP70</t>
  </si>
  <si>
    <t xml:space="preserve"> Преобразователи напряжения  (ИС, ИС1, ИС2, ИС3)</t>
  </si>
  <si>
    <t xml:space="preserve"> Источники бесперебойного питания, зарядные устройства (ИБП, ЗУ, СибАмпер, МИ 30-24)</t>
  </si>
  <si>
    <t xml:space="preserve"> Преобразователи   напряжения (ПН ) </t>
  </si>
  <si>
    <t xml:space="preserve"> Преобразователи напряжения (ПН4-ЖД )</t>
  </si>
  <si>
    <t xml:space="preserve"> Инверторы  СибВольт </t>
  </si>
  <si>
    <t xml:space="preserve"> СибВатт</t>
  </si>
  <si>
    <t xml:space="preserve"> Инверторы СибВольт   ЖД</t>
  </si>
  <si>
    <t xml:space="preserve"> Инверторы СибВольт  Li-ion</t>
  </si>
  <si>
    <t xml:space="preserve"> Система контроля и управления   Li-ion аккумуляторами</t>
  </si>
  <si>
    <t>Солнечные трекеры</t>
  </si>
  <si>
    <t>UST-AADAT</t>
  </si>
  <si>
    <t>UST-VSAT</t>
  </si>
  <si>
    <t>UST-HSAT</t>
  </si>
  <si>
    <t>UST-PASAT</t>
  </si>
  <si>
    <t xml:space="preserve">Контроллер для управления солнечным трекером UST-C7 </t>
  </si>
  <si>
    <t xml:space="preserve">Шкаф управления солнечным трекером UST-DR-002 </t>
  </si>
  <si>
    <t>Шкаф управления солнечным трекером UST-DR-003</t>
  </si>
  <si>
    <t>Цена (руб.)</t>
  </si>
  <si>
    <t>Солнечная батарея ЭВ-400М монокристаллическая ( 12ВВ, технология PERC), 400Вт</t>
  </si>
  <si>
    <t>Прижим средний п-образный (в сборе)</t>
  </si>
  <si>
    <t>Соединитель рейлингов с крепежом</t>
  </si>
  <si>
    <t>Аккумуляторная батарея AGM 200 Ач, 12В</t>
  </si>
  <si>
    <t>КНР</t>
  </si>
  <si>
    <t>ИСТОЧНИКИ БЕСПЕРЕБОЙНОГО ПИТАНИЯ</t>
  </si>
  <si>
    <t>5 кВт(1 фаза) 4,8 кВт*ч (48В 100Ач)</t>
  </si>
  <si>
    <t>5 кВт(1 фаза) 9,6 кВт*ч (48В 200Ач)</t>
  </si>
  <si>
    <t>8 кВт(1 фаза) 9,6 кВт*ч (48В 200Ач)</t>
  </si>
  <si>
    <t xml:space="preserve">8 кВт(3 фазы) 9,6 кВт*ч (48В 200Ач) </t>
  </si>
  <si>
    <t>12 кВт(3 фазы) 14,4 кВт*ч (48В 300Ач)</t>
  </si>
  <si>
    <t>12 кВт(3 фазы) 19,2 кВт*ч (48В 400Ач)</t>
  </si>
  <si>
    <t>15 кВт(1 фаза) 14,4 кВт*ч (48В 300Ач)</t>
  </si>
  <si>
    <t>15 кВт(1 фаза) 19,2 кВт*ч (48В 400Ач)</t>
  </si>
  <si>
    <t>15 кВт(3 фазы) 14,4 кВт*ч (48В 300Ач)</t>
  </si>
  <si>
    <t>15 кВт(3 фазы) 19,2 кВт*ч (48В 400Ач)</t>
  </si>
  <si>
    <t>24 кВт(3 фазы) 19,2 кВт*ч (48В 400Ач)</t>
  </si>
  <si>
    <t>24 кВт(3 фазы) 24 кВт*ч (48В 500Ач)</t>
  </si>
  <si>
    <t>24 кВт(3 фазы) 28,8 кВт*ч (48В 600Ач)</t>
  </si>
  <si>
    <t>36 кВт(3 фазы) 38,4 кВт*ч (48В 800Ач)</t>
  </si>
  <si>
    <t>36 кВт(3 фазы) 48,0 кВт*ч (48В 1000Ач)</t>
  </si>
  <si>
    <t>Deye, Dyness, КНР</t>
  </si>
  <si>
    <t xml:space="preserve">Deye, Dyness, КНР </t>
  </si>
  <si>
    <t>Гибридный инвертор Deye SUN-5K-SG03LP1-EU + ТТ (1 фаза)</t>
  </si>
  <si>
    <t>Гибридный инвертор SUN-8K-SG01LP1-EU (1 фаза)</t>
  </si>
  <si>
    <t>Гибридный инвертор Deye SUN-12K-SG04LP3-EU + ТТ (3 фазы)</t>
  </si>
  <si>
    <t>Гибридный инвертор SUN-16K-SG01LP1-EU (1 фаза)</t>
  </si>
  <si>
    <t>Гибридный инвертор Deye SUN-8K-SG04LP3-EU + ТТ (3 фазы)</t>
  </si>
  <si>
    <t>Модуль фотоэлектрический Longi 555 Вт</t>
  </si>
  <si>
    <t>Модуль фотоэлектрический HVL 144 MBB M10 GG 05, Вт 540</t>
  </si>
  <si>
    <t>Модуль фотоэлектрический HVL 144 MBB M10 GG 05, Вт 545</t>
  </si>
  <si>
    <t>Модуль фотоэлектрический HVL 144 MBB M10 GG 05, Вт 550</t>
  </si>
  <si>
    <t>Модуль фотоэлектрический HVL 144 MBB M10 GG 05, Вт 555</t>
  </si>
  <si>
    <t>Модуль фотоэлектрический HVL 144 MBB M10 GG 05, Вт 560</t>
  </si>
  <si>
    <t>Модуль фотоэлектрический HVL 144 MBB M10 GG 05, Вт 565</t>
  </si>
  <si>
    <t>Модуль фотоэлектрический HVL 144 MBB M10 GG 05, Вт 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</si>
</sst>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_-[$€-2]\ * #,##0.00_-;\-[$€-2]\ * #,##0.00_-;_-[$€-2]\ * &quot;-&quot;??_-;_-@_-"/>
    <numFmt numFmtId="167" formatCode="_-* #,##0.00[$р.-419]_-;\-* #,##0.00[$р.-419]_-;_-* &quot;-&quot;??[$р.-419]_-;_-@_-"/>
    <numFmt numFmtId="168" formatCode="_-* #,##0.00\ [$₽-419]_-;\-* #,##0.00\ [$₽-419]_-;_-* &quot;-&quot;??\ [$₽-419]_-;_-@_-"/>
    <numFmt numFmtId="169" formatCode="_-* #,##0.00\ [$р.-423]_-;\-* #,##0.00\ [$р.-423]_-;_-* &quot;-&quot;??\ [$р.-423]_-;_-@_-"/>
    <numFmt numFmtId="170" formatCode="_-[$$-409]* #,##0.00_ ;_-[$$-409]* \-#,##0.00\ ;_-[$$-409]* &quot;-&quot;??_ ;_-@_ "/>
    <numFmt numFmtId="171" formatCode="_-[$$-85D]* #,##0.00_ ;_-[$$-85D]* \-#,##0.00\ ;_-[$$-85D]* &quot;-&quot;??_ ;_-@_ "/>
    <numFmt numFmtId="172" formatCode="_-* #,##0.00\ &quot;р.&quot;_-;\-* #,##0.00\ &quot;р.&quot;_-;_-* &quot;-&quot;??\ &quot;р.&quot;_-;_-@_-"/>
    <numFmt numFmtId="173" formatCode="_-* #,##0[$р.-419]_-;\-* #,##0[$р.-419]_-;_-* &quot;-&quot;??[$р.-419]_-;_-@_-"/>
    <numFmt numFmtId="174" formatCode="_-* #,##0.00\ [$р.-419]_-;\-* #,##0.00\ [$р.-419]_-;_-* &quot;-&quot;??\ [$р.-419]_-;_-@_-"/>
    <numFmt numFmtId="175" formatCode="0.0"/>
    <numFmt numFmtId="176" formatCode="_-* #,##0\ _₽_-;\-* #,##0\ _₽_-;_-* &quot;-&quot;??\ _₽_-;_-@_-"/>
    <numFmt numFmtId="177" formatCode="#,##0.00\ _₽"/>
    <numFmt numFmtId="178" formatCode="0.0%"/>
    <numFmt numFmtId="179" formatCode="#,##0.00_ ;\-#,##0.00\ 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Arial Narrow"/>
      <family val="2"/>
      <charset val="204"/>
    </font>
    <font>
      <sz val="12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color rgb="FF000000"/>
      <name val="Arial Narrow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FF0000"/>
      <name val="Arial Narrow"/>
      <family val="2"/>
      <charset val="204"/>
    </font>
    <font>
      <b/>
      <sz val="12"/>
      <color rgb="FFFF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0" tint="-0.34998626667073579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0"/>
      <color theme="0" tint="-0.34998626667073579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color rgb="FF1F497D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6" tint="0.7999816888943144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6" tint="0.79998168889431442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auto="1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24">
    <xf numFmtId="0" fontId="0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19" fillId="0" borderId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61" fillId="0" borderId="0"/>
    <xf numFmtId="0" fontId="4" fillId="0" borderId="0"/>
    <xf numFmtId="9" fontId="62" fillId="0" borderId="0" applyFont="0" applyFill="0" applyBorder="0" applyAlignment="0" applyProtection="0"/>
  </cellStyleXfs>
  <cellXfs count="667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1" fillId="2" borderId="15" xfId="0" applyFont="1" applyFill="1" applyBorder="1" applyAlignment="1">
      <alignment vertical="center"/>
    </xf>
    <xf numFmtId="0" fontId="31" fillId="2" borderId="20" xfId="0" applyFont="1" applyFill="1" applyBorder="1" applyAlignment="1">
      <alignment vertical="center"/>
    </xf>
    <xf numFmtId="0" fontId="32" fillId="2" borderId="20" xfId="0" applyFont="1" applyFill="1" applyBorder="1" applyAlignment="1">
      <alignment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vertical="center"/>
    </xf>
    <xf numFmtId="0" fontId="34" fillId="2" borderId="20" xfId="0" applyFont="1" applyFill="1" applyBorder="1" applyAlignment="1">
      <alignment vertical="center"/>
    </xf>
    <xf numFmtId="0" fontId="35" fillId="0" borderId="0" xfId="4"/>
    <xf numFmtId="0" fontId="35" fillId="0" borderId="0" xfId="4" applyBorder="1" applyAlignment="1">
      <alignment vertical="center"/>
    </xf>
    <xf numFmtId="0" fontId="35" fillId="0" borderId="0" xfId="4" applyAlignment="1">
      <alignment horizontal="center" vertical="center"/>
    </xf>
    <xf numFmtId="0" fontId="35" fillId="0" borderId="0" xfId="4" applyAlignment="1">
      <alignment vertical="center"/>
    </xf>
    <xf numFmtId="0" fontId="35" fillId="0" borderId="1" xfId="4" applyBorder="1" applyAlignment="1">
      <alignment vertical="center"/>
    </xf>
    <xf numFmtId="165" fontId="35" fillId="0" borderId="0" xfId="4" applyNumberFormat="1" applyAlignment="1">
      <alignment vertical="center"/>
    </xf>
    <xf numFmtId="0" fontId="35" fillId="0" borderId="0" xfId="4" applyFill="1" applyAlignment="1">
      <alignment vertical="center"/>
    </xf>
    <xf numFmtId="0" fontId="35" fillId="0" borderId="0" xfId="4" applyFont="1" applyAlignment="1">
      <alignment vertical="center"/>
    </xf>
    <xf numFmtId="0" fontId="25" fillId="0" borderId="0" xfId="4" applyFont="1" applyFill="1" applyBorder="1" applyAlignment="1">
      <alignment horizontal="left" vertical="center"/>
    </xf>
    <xf numFmtId="0" fontId="39" fillId="0" borderId="0" xfId="4" applyFont="1" applyAlignment="1">
      <alignment vertical="center"/>
    </xf>
    <xf numFmtId="0" fontId="25" fillId="0" borderId="0" xfId="4" applyFont="1" applyAlignment="1">
      <alignment vertical="center"/>
    </xf>
    <xf numFmtId="0" fontId="35" fillId="0" borderId="0" xfId="4" applyAlignment="1">
      <alignment horizontal="center" vertical="center" wrapText="1"/>
    </xf>
    <xf numFmtId="0" fontId="25" fillId="0" borderId="3" xfId="4" applyFont="1" applyBorder="1" applyAlignment="1">
      <alignment vertical="center"/>
    </xf>
    <xf numFmtId="0" fontId="36" fillId="4" borderId="27" xfId="4" applyFont="1" applyFill="1" applyBorder="1" applyAlignment="1">
      <alignment horizontal="center" vertical="center"/>
    </xf>
    <xf numFmtId="0" fontId="25" fillId="4" borderId="28" xfId="4" applyFont="1" applyFill="1" applyBorder="1" applyAlignment="1">
      <alignment horizontal="center" vertical="center"/>
    </xf>
    <xf numFmtId="0" fontId="25" fillId="4" borderId="28" xfId="4" applyFont="1" applyFill="1" applyBorder="1" applyAlignment="1">
      <alignment horizontal="center" vertical="center" wrapText="1"/>
    </xf>
    <xf numFmtId="0" fontId="25" fillId="4" borderId="29" xfId="4" applyFont="1" applyFill="1" applyBorder="1" applyAlignment="1">
      <alignment horizontal="center" vertical="center"/>
    </xf>
    <xf numFmtId="0" fontId="25" fillId="4" borderId="29" xfId="4" applyFont="1" applyFill="1" applyBorder="1" applyAlignment="1">
      <alignment horizontal="center" vertical="center" wrapText="1"/>
    </xf>
    <xf numFmtId="0" fontId="25" fillId="4" borderId="30" xfId="4" applyFont="1" applyFill="1" applyBorder="1" applyAlignment="1">
      <alignment horizontal="center" vertical="center" wrapText="1"/>
    </xf>
    <xf numFmtId="0" fontId="25" fillId="4" borderId="31" xfId="4" applyFont="1" applyFill="1" applyBorder="1" applyAlignment="1">
      <alignment horizontal="center" vertical="center" wrapText="1"/>
    </xf>
    <xf numFmtId="0" fontId="35" fillId="4" borderId="3" xfId="4" applyFill="1" applyBorder="1" applyAlignment="1">
      <alignment vertical="center"/>
    </xf>
    <xf numFmtId="0" fontId="35" fillId="0" borderId="19" xfId="4" applyBorder="1" applyAlignment="1">
      <alignment vertical="center"/>
    </xf>
    <xf numFmtId="0" fontId="35" fillId="0" borderId="1" xfId="4" applyFont="1" applyBorder="1" applyAlignment="1">
      <alignment horizontal="center" vertical="center"/>
    </xf>
    <xf numFmtId="0" fontId="35" fillId="0" borderId="32" xfId="4" applyFont="1" applyBorder="1" applyAlignment="1">
      <alignment vertical="center"/>
    </xf>
    <xf numFmtId="0" fontId="35" fillId="0" borderId="17" xfId="4" applyFont="1" applyBorder="1" applyAlignment="1">
      <alignment horizontal="center" vertical="center"/>
    </xf>
    <xf numFmtId="1" fontId="35" fillId="0" borderId="17" xfId="4" applyNumberFormat="1" applyFont="1" applyBorder="1" applyAlignment="1">
      <alignment horizontal="center" vertical="center"/>
    </xf>
    <xf numFmtId="165" fontId="35" fillId="0" borderId="17" xfId="6" applyFont="1" applyBorder="1" applyAlignment="1">
      <alignment horizontal="center" vertical="center"/>
    </xf>
    <xf numFmtId="166" fontId="35" fillId="0" borderId="17" xfId="5" applyNumberFormat="1" applyFont="1" applyBorder="1" applyAlignment="1">
      <alignment vertical="center"/>
    </xf>
    <xf numFmtId="0" fontId="35" fillId="4" borderId="3" xfId="4" applyFont="1" applyFill="1" applyBorder="1" applyAlignment="1">
      <alignment vertical="center"/>
    </xf>
    <xf numFmtId="165" fontId="35" fillId="0" borderId="19" xfId="6" applyFont="1" applyBorder="1" applyAlignment="1">
      <alignment vertical="center"/>
    </xf>
    <xf numFmtId="0" fontId="35" fillId="0" borderId="33" xfId="4" applyFont="1" applyBorder="1" applyAlignment="1">
      <alignment vertical="center"/>
    </xf>
    <xf numFmtId="1" fontId="35" fillId="0" borderId="1" xfId="4" applyNumberFormat="1" applyFont="1" applyBorder="1" applyAlignment="1">
      <alignment horizontal="center" vertical="center"/>
    </xf>
    <xf numFmtId="167" fontId="35" fillId="0" borderId="1" xfId="6" applyNumberFormat="1" applyFont="1" applyBorder="1" applyAlignment="1">
      <alignment vertical="center"/>
    </xf>
    <xf numFmtId="165" fontId="35" fillId="0" borderId="1" xfId="6" applyFont="1" applyBorder="1" applyAlignment="1">
      <alignment horizontal="center" vertical="center"/>
    </xf>
    <xf numFmtId="166" fontId="35" fillId="0" borderId="1" xfId="5" applyNumberFormat="1" applyFont="1" applyBorder="1" applyAlignment="1">
      <alignment vertical="center"/>
    </xf>
    <xf numFmtId="167" fontId="35" fillId="0" borderId="3" xfId="4" applyNumberFormat="1" applyBorder="1" applyAlignment="1">
      <alignment vertical="center"/>
    </xf>
    <xf numFmtId="165" fontId="35" fillId="0" borderId="0" xfId="6" applyFont="1" applyAlignment="1">
      <alignment vertical="center"/>
    </xf>
    <xf numFmtId="0" fontId="35" fillId="0" borderId="34" xfId="4" applyFont="1" applyBorder="1" applyAlignment="1">
      <alignment vertical="center"/>
    </xf>
    <xf numFmtId="1" fontId="35" fillId="0" borderId="4" xfId="4" applyNumberFormat="1" applyFont="1" applyBorder="1" applyAlignment="1">
      <alignment horizontal="center" vertical="center"/>
    </xf>
    <xf numFmtId="165" fontId="35" fillId="0" borderId="4" xfId="6" applyFont="1" applyBorder="1" applyAlignment="1">
      <alignment horizontal="center" vertical="center"/>
    </xf>
    <xf numFmtId="166" fontId="35" fillId="0" borderId="4" xfId="5" applyNumberFormat="1" applyFont="1" applyBorder="1" applyAlignment="1">
      <alignment vertical="center"/>
    </xf>
    <xf numFmtId="0" fontId="25" fillId="0" borderId="6" xfId="4" applyFont="1" applyBorder="1" applyAlignment="1">
      <alignment horizontal="center" vertical="center"/>
    </xf>
    <xf numFmtId="1" fontId="35" fillId="0" borderId="6" xfId="4" applyNumberFormat="1" applyFont="1" applyBorder="1" applyAlignment="1">
      <alignment horizontal="center" vertical="center"/>
    </xf>
    <xf numFmtId="165" fontId="35" fillId="0" borderId="6" xfId="6" applyFont="1" applyBorder="1" applyAlignment="1">
      <alignment horizontal="center" vertical="center"/>
    </xf>
    <xf numFmtId="166" fontId="35" fillId="0" borderId="7" xfId="5" applyNumberFormat="1" applyFont="1" applyBorder="1" applyAlignment="1">
      <alignment vertical="center"/>
    </xf>
    <xf numFmtId="43" fontId="35" fillId="0" borderId="1" xfId="4" applyNumberFormat="1" applyBorder="1" applyAlignment="1">
      <alignment vertical="center"/>
    </xf>
    <xf numFmtId="0" fontId="25" fillId="0" borderId="11" xfId="4" applyFont="1" applyBorder="1" applyAlignment="1">
      <alignment horizontal="center" vertical="center"/>
    </xf>
    <xf numFmtId="9" fontId="35" fillId="0" borderId="11" xfId="5" applyFont="1" applyBorder="1" applyAlignment="1">
      <alignment vertical="center"/>
    </xf>
    <xf numFmtId="165" fontId="35" fillId="0" borderId="11" xfId="6" applyFont="1" applyBorder="1" applyAlignment="1">
      <alignment vertical="center"/>
    </xf>
    <xf numFmtId="165" fontId="35" fillId="0" borderId="11" xfId="6" applyFont="1" applyBorder="1" applyAlignment="1">
      <alignment horizontal="center" vertical="center"/>
    </xf>
    <xf numFmtId="166" fontId="35" fillId="0" borderId="12" xfId="5" applyNumberFormat="1" applyFont="1" applyBorder="1" applyAlignment="1">
      <alignment vertical="center"/>
    </xf>
    <xf numFmtId="166" fontId="25" fillId="0" borderId="0" xfId="5" applyNumberFormat="1" applyFont="1" applyBorder="1" applyAlignment="1">
      <alignment horizontal="center" vertical="center"/>
    </xf>
    <xf numFmtId="0" fontId="25" fillId="4" borderId="8" xfId="4" applyFont="1" applyFill="1" applyBorder="1" applyAlignment="1">
      <alignment vertical="center"/>
    </xf>
    <xf numFmtId="9" fontId="35" fillId="0" borderId="1" xfId="5" applyFont="1" applyBorder="1" applyAlignment="1">
      <alignment vertical="center"/>
    </xf>
    <xf numFmtId="167" fontId="25" fillId="0" borderId="1" xfId="5" applyNumberFormat="1" applyFont="1" applyBorder="1" applyAlignment="1">
      <alignment horizontal="center" vertical="center"/>
    </xf>
    <xf numFmtId="0" fontId="35" fillId="0" borderId="1" xfId="4" applyFont="1" applyBorder="1" applyAlignment="1">
      <alignment vertical="center"/>
    </xf>
    <xf numFmtId="0" fontId="25" fillId="4" borderId="10" xfId="4" applyFont="1" applyFill="1" applyBorder="1" applyAlignment="1">
      <alignment vertical="center" wrapText="1"/>
    </xf>
    <xf numFmtId="0" fontId="35" fillId="0" borderId="11" xfId="4" applyFont="1" applyBorder="1" applyAlignment="1">
      <alignment horizontal="center" vertical="center"/>
    </xf>
    <xf numFmtId="0" fontId="35" fillId="0" borderId="11" xfId="4" applyFont="1" applyBorder="1" applyAlignment="1">
      <alignment vertical="center"/>
    </xf>
    <xf numFmtId="0" fontId="35" fillId="0" borderId="11" xfId="4" applyBorder="1" applyAlignment="1">
      <alignment vertical="center"/>
    </xf>
    <xf numFmtId="167" fontId="25" fillId="0" borderId="11" xfId="5" applyNumberFormat="1" applyFont="1" applyBorder="1" applyAlignment="1">
      <alignment horizontal="center" vertical="center"/>
    </xf>
    <xf numFmtId="168" fontId="25" fillId="0" borderId="0" xfId="5" applyNumberFormat="1" applyFont="1" applyBorder="1" applyAlignment="1">
      <alignment horizontal="center" vertical="center"/>
    </xf>
    <xf numFmtId="4" fontId="35" fillId="0" borderId="0" xfId="4" applyNumberFormat="1" applyAlignment="1">
      <alignment vertical="center"/>
    </xf>
    <xf numFmtId="169" fontId="35" fillId="0" borderId="0" xfId="4" applyNumberFormat="1" applyAlignment="1">
      <alignment vertical="center"/>
    </xf>
    <xf numFmtId="16" fontId="35" fillId="0" borderId="0" xfId="4" applyNumberFormat="1" applyAlignment="1">
      <alignment horizontal="center" vertical="center"/>
    </xf>
    <xf numFmtId="17" fontId="35" fillId="0" borderId="0" xfId="4" applyNumberFormat="1" applyAlignment="1">
      <alignment vertical="center"/>
    </xf>
    <xf numFmtId="16" fontId="35" fillId="0" borderId="0" xfId="4" applyNumberFormat="1" applyAlignment="1">
      <alignment vertical="center"/>
    </xf>
    <xf numFmtId="0" fontId="25" fillId="0" borderId="1" xfId="4" applyFont="1" applyBorder="1" applyAlignment="1">
      <alignment horizontal="center" vertical="center"/>
    </xf>
    <xf numFmtId="0" fontId="35" fillId="0" borderId="4" xfId="4" applyFont="1" applyBorder="1" applyAlignment="1">
      <alignment horizontal="center" vertical="center"/>
    </xf>
    <xf numFmtId="0" fontId="25" fillId="0" borderId="5" xfId="4" applyFont="1" applyBorder="1" applyAlignment="1">
      <alignment vertical="center"/>
    </xf>
    <xf numFmtId="43" fontId="35" fillId="0" borderId="6" xfId="4" applyNumberFormat="1" applyBorder="1" applyAlignment="1">
      <alignment vertical="center"/>
    </xf>
    <xf numFmtId="0" fontId="25" fillId="0" borderId="8" xfId="4" applyFont="1" applyBorder="1" applyAlignment="1">
      <alignment vertical="center"/>
    </xf>
    <xf numFmtId="0" fontId="25" fillId="0" borderId="10" xfId="4" applyFont="1" applyBorder="1" applyAlignment="1">
      <alignment vertical="center"/>
    </xf>
    <xf numFmtId="166" fontId="35" fillId="0" borderId="9" xfId="5" applyNumberFormat="1" applyFont="1" applyBorder="1" applyAlignment="1">
      <alignment vertical="center"/>
    </xf>
    <xf numFmtId="170" fontId="35" fillId="0" borderId="17" xfId="5" applyNumberFormat="1" applyFont="1" applyBorder="1" applyAlignment="1">
      <alignment vertical="center"/>
    </xf>
    <xf numFmtId="0" fontId="41" fillId="0" borderId="1" xfId="4" applyFont="1" applyBorder="1" applyAlignment="1">
      <alignment horizontal="center" vertical="center"/>
    </xf>
    <xf numFmtId="0" fontId="41" fillId="0" borderId="33" xfId="4" applyFont="1" applyBorder="1" applyAlignment="1">
      <alignment vertical="center"/>
    </xf>
    <xf numFmtId="0" fontId="41" fillId="0" borderId="17" xfId="4" applyFont="1" applyBorder="1" applyAlignment="1">
      <alignment horizontal="center" vertical="center"/>
    </xf>
    <xf numFmtId="1" fontId="41" fillId="0" borderId="1" xfId="4" applyNumberFormat="1" applyFont="1" applyBorder="1" applyAlignment="1">
      <alignment horizontal="center" vertical="center"/>
    </xf>
    <xf numFmtId="167" fontId="41" fillId="0" borderId="1" xfId="6" applyNumberFormat="1" applyFont="1" applyBorder="1" applyAlignment="1">
      <alignment vertical="center"/>
    </xf>
    <xf numFmtId="165" fontId="41" fillId="0" borderId="1" xfId="6" applyFont="1" applyBorder="1" applyAlignment="1">
      <alignment horizontal="center" vertical="center"/>
    </xf>
    <xf numFmtId="170" fontId="41" fillId="0" borderId="17" xfId="5" applyNumberFormat="1" applyFont="1" applyBorder="1" applyAlignment="1">
      <alignment vertical="center"/>
    </xf>
    <xf numFmtId="0" fontId="41" fillId="0" borderId="0" xfId="4" applyFont="1"/>
    <xf numFmtId="170" fontId="35" fillId="0" borderId="2" xfId="5" applyNumberFormat="1" applyFont="1" applyBorder="1" applyAlignment="1">
      <alignment vertical="center"/>
    </xf>
    <xf numFmtId="170" fontId="35" fillId="0" borderId="1" xfId="5" applyNumberFormat="1" applyFont="1" applyBorder="1" applyAlignment="1">
      <alignment vertical="center"/>
    </xf>
    <xf numFmtId="170" fontId="35" fillId="0" borderId="6" xfId="5" applyNumberFormat="1" applyFont="1" applyBorder="1" applyAlignment="1">
      <alignment vertical="center"/>
    </xf>
    <xf numFmtId="170" fontId="35" fillId="0" borderId="11" xfId="5" applyNumberFormat="1" applyFont="1" applyBorder="1" applyAlignment="1">
      <alignment vertical="center"/>
    </xf>
    <xf numFmtId="0" fontId="25" fillId="4" borderId="5" xfId="4" applyFont="1" applyFill="1" applyBorder="1" applyAlignment="1">
      <alignment vertical="center"/>
    </xf>
    <xf numFmtId="0" fontId="35" fillId="0" borderId="6" xfId="4" applyFont="1" applyBorder="1" applyAlignment="1">
      <alignment horizontal="center" vertical="center"/>
    </xf>
    <xf numFmtId="0" fontId="35" fillId="0" borderId="6" xfId="4" applyFont="1" applyBorder="1" applyAlignment="1">
      <alignment vertical="center"/>
    </xf>
    <xf numFmtId="0" fontId="35" fillId="0" borderId="6" xfId="4" applyBorder="1" applyAlignment="1">
      <alignment vertical="center"/>
    </xf>
    <xf numFmtId="167" fontId="25" fillId="0" borderId="6" xfId="5" applyNumberFormat="1" applyFont="1" applyBorder="1" applyAlignment="1">
      <alignment horizontal="center" vertical="center"/>
    </xf>
    <xf numFmtId="170" fontId="35" fillId="0" borderId="7" xfId="5" applyNumberFormat="1" applyFont="1" applyBorder="1" applyAlignment="1">
      <alignment vertical="center"/>
    </xf>
    <xf numFmtId="170" fontId="35" fillId="0" borderId="18" xfId="5" applyNumberFormat="1" applyFont="1" applyBorder="1" applyAlignment="1">
      <alignment vertical="center"/>
    </xf>
    <xf numFmtId="170" fontId="35" fillId="0" borderId="39" xfId="5" applyNumberFormat="1" applyFont="1" applyBorder="1" applyAlignment="1">
      <alignment vertical="center"/>
    </xf>
    <xf numFmtId="0" fontId="35" fillId="4" borderId="0" xfId="4" applyFont="1" applyFill="1" applyBorder="1" applyAlignment="1">
      <alignment vertical="center"/>
    </xf>
    <xf numFmtId="167" fontId="35" fillId="0" borderId="0" xfId="4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4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6" fillId="4" borderId="27" xfId="0" applyFont="1" applyFill="1" applyBorder="1" applyAlignment="1">
      <alignment horizontal="center" vertical="center"/>
    </xf>
    <xf numFmtId="0" fontId="25" fillId="4" borderId="41" xfId="0" applyFont="1" applyFill="1" applyBorder="1" applyAlignment="1">
      <alignment horizontal="center" vertical="center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/>
    </xf>
    <xf numFmtId="0" fontId="25" fillId="4" borderId="42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25" fillId="4" borderId="36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35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/>
    </xf>
    <xf numFmtId="44" fontId="24" fillId="0" borderId="6" xfId="2" applyFont="1" applyBorder="1" applyAlignment="1">
      <alignment vertical="center"/>
    </xf>
    <xf numFmtId="44" fontId="0" fillId="0" borderId="6" xfId="2" applyFont="1" applyBorder="1" applyAlignment="1">
      <alignment horizontal="center" vertical="center"/>
    </xf>
    <xf numFmtId="171" fontId="0" fillId="0" borderId="6" xfId="3" applyNumberFormat="1" applyFont="1" applyBorder="1" applyAlignment="1">
      <alignment vertical="center"/>
    </xf>
    <xf numFmtId="166" fontId="0" fillId="0" borderId="7" xfId="3" applyNumberFormat="1" applyFont="1" applyBorder="1" applyAlignment="1">
      <alignment vertical="center"/>
    </xf>
    <xf numFmtId="0" fontId="0" fillId="4" borderId="3" xfId="0" applyFont="1" applyFill="1" applyBorder="1" applyAlignment="1">
      <alignment vertical="center"/>
    </xf>
    <xf numFmtId="44" fontId="0" fillId="0" borderId="19" xfId="2" applyFont="1" applyBorder="1" applyAlignment="1">
      <alignment vertical="center"/>
    </xf>
    <xf numFmtId="0" fontId="35" fillId="0" borderId="8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" fontId="0" fillId="0" borderId="1" xfId="0" applyNumberFormat="1" applyFont="1" applyBorder="1" applyAlignment="1">
      <alignment horizontal="center" vertical="center"/>
    </xf>
    <xf numFmtId="167" fontId="0" fillId="0" borderId="1" xfId="2" applyNumberFormat="1" applyFont="1" applyBorder="1" applyAlignment="1">
      <alignment vertical="center"/>
    </xf>
    <xf numFmtId="44" fontId="0" fillId="0" borderId="1" xfId="2" applyFont="1" applyBorder="1" applyAlignment="1">
      <alignment horizontal="center" vertical="center"/>
    </xf>
    <xf numFmtId="171" fontId="0" fillId="0" borderId="1" xfId="3" applyNumberFormat="1" applyFont="1" applyBorder="1" applyAlignment="1">
      <alignment vertical="center"/>
    </xf>
    <xf numFmtId="166" fontId="0" fillId="0" borderId="9" xfId="3" applyNumberFormat="1" applyFont="1" applyBorder="1" applyAlignment="1">
      <alignment vertical="center"/>
    </xf>
    <xf numFmtId="167" fontId="0" fillId="0" borderId="3" xfId="0" applyNumberFormat="1" applyBorder="1" applyAlignment="1">
      <alignment vertical="center"/>
    </xf>
    <xf numFmtId="44" fontId="0" fillId="0" borderId="0" xfId="2" applyFont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72" fontId="0" fillId="0" borderId="1" xfId="0" applyNumberFormat="1" applyFont="1" applyFill="1" applyBorder="1" applyAlignment="1">
      <alignment vertical="center"/>
    </xf>
    <xf numFmtId="171" fontId="0" fillId="0" borderId="1" xfId="3" applyNumberFormat="1" applyFont="1" applyFill="1" applyBorder="1" applyAlignment="1">
      <alignment vertical="center"/>
    </xf>
    <xf numFmtId="44" fontId="0" fillId="0" borderId="0" xfId="0" applyNumberFormat="1" applyFill="1" applyAlignment="1">
      <alignment vertical="center"/>
    </xf>
    <xf numFmtId="0" fontId="0" fillId="3" borderId="1" xfId="0" applyFill="1" applyBorder="1"/>
    <xf numFmtId="0" fontId="0" fillId="0" borderId="1" xfId="0" applyBorder="1"/>
    <xf numFmtId="44" fontId="43" fillId="0" borderId="1" xfId="2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67" fontId="0" fillId="0" borderId="0" xfId="0" applyNumberForma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44" fontId="43" fillId="0" borderId="4" xfId="2" applyFont="1" applyBorder="1" applyAlignment="1">
      <alignment vertical="center"/>
    </xf>
    <xf numFmtId="0" fontId="25" fillId="5" borderId="6" xfId="0" applyFont="1" applyFill="1" applyBorder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44" fontId="0" fillId="3" borderId="6" xfId="2" applyFont="1" applyFill="1" applyBorder="1" applyAlignment="1">
      <alignment vertical="center"/>
    </xf>
    <xf numFmtId="44" fontId="0" fillId="5" borderId="6" xfId="2" applyFont="1" applyFill="1" applyBorder="1" applyAlignment="1">
      <alignment horizontal="center" vertical="center"/>
    </xf>
    <xf numFmtId="171" fontId="0" fillId="5" borderId="6" xfId="3" applyNumberFormat="1" applyFont="1" applyFill="1" applyBorder="1" applyAlignment="1">
      <alignment vertical="center"/>
    </xf>
    <xf numFmtId="166" fontId="0" fillId="5" borderId="7" xfId="3" applyNumberFormat="1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0" fontId="25" fillId="5" borderId="1" xfId="0" applyFont="1" applyFill="1" applyBorder="1" applyAlignment="1">
      <alignment vertical="center"/>
    </xf>
    <xf numFmtId="0" fontId="25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4" fontId="0" fillId="5" borderId="1" xfId="2" applyFont="1" applyFill="1" applyBorder="1" applyAlignment="1">
      <alignment vertical="center"/>
    </xf>
    <xf numFmtId="44" fontId="0" fillId="5" borderId="1" xfId="2" applyFont="1" applyFill="1" applyBorder="1" applyAlignment="1">
      <alignment horizontal="center" vertical="center"/>
    </xf>
    <xf numFmtId="171" fontId="0" fillId="5" borderId="1" xfId="3" applyNumberFormat="1" applyFont="1" applyFill="1" applyBorder="1" applyAlignment="1">
      <alignment vertical="center"/>
    </xf>
    <xf numFmtId="166" fontId="0" fillId="5" borderId="9" xfId="3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44" fontId="0" fillId="0" borderId="1" xfId="2" applyFont="1" applyFill="1" applyBorder="1" applyAlignment="1">
      <alignment vertical="center"/>
    </xf>
    <xf numFmtId="44" fontId="43" fillId="3" borderId="1" xfId="2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vertical="center"/>
    </xf>
    <xf numFmtId="44" fontId="0" fillId="0" borderId="1" xfId="2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11" xfId="0" applyFont="1" applyBorder="1" applyAlignment="1">
      <alignment horizontal="center" vertical="center"/>
    </xf>
    <xf numFmtId="9" fontId="0" fillId="0" borderId="11" xfId="3" applyFont="1" applyBorder="1" applyAlignment="1">
      <alignment vertical="center"/>
    </xf>
    <xf numFmtId="44" fontId="0" fillId="0" borderId="11" xfId="2" applyFont="1" applyBorder="1" applyAlignment="1">
      <alignment vertical="center"/>
    </xf>
    <xf numFmtId="44" fontId="0" fillId="0" borderId="11" xfId="2" applyFont="1" applyBorder="1" applyAlignment="1">
      <alignment horizontal="center" vertical="center"/>
    </xf>
    <xf numFmtId="171" fontId="0" fillId="0" borderId="11" xfId="3" applyNumberFormat="1" applyFont="1" applyBorder="1" applyAlignment="1">
      <alignment vertical="center"/>
    </xf>
    <xf numFmtId="166" fontId="0" fillId="0" borderId="12" xfId="3" applyNumberFormat="1" applyFont="1" applyBorder="1" applyAlignment="1">
      <alignment vertical="center"/>
    </xf>
    <xf numFmtId="0" fontId="25" fillId="4" borderId="16" xfId="0" applyFont="1" applyFill="1" applyBorder="1" applyAlignment="1">
      <alignment vertical="center"/>
    </xf>
    <xf numFmtId="0" fontId="0" fillId="0" borderId="17" xfId="0" applyFont="1" applyBorder="1" applyAlignment="1">
      <alignment horizontal="center" vertical="center"/>
    </xf>
    <xf numFmtId="9" fontId="0" fillId="0" borderId="17" xfId="3" applyFont="1" applyBorder="1" applyAlignment="1">
      <alignment vertical="center"/>
    </xf>
    <xf numFmtId="0" fontId="0" fillId="0" borderId="17" xfId="0" applyBorder="1" applyAlignment="1">
      <alignment vertical="center"/>
    </xf>
    <xf numFmtId="167" fontId="25" fillId="0" borderId="17" xfId="3" applyNumberFormat="1" applyFont="1" applyBorder="1" applyAlignment="1">
      <alignment horizontal="center" vertical="center"/>
    </xf>
    <xf numFmtId="171" fontId="0" fillId="0" borderId="17" xfId="3" applyNumberFormat="1" applyFont="1" applyBorder="1" applyAlignment="1">
      <alignment vertical="center"/>
    </xf>
    <xf numFmtId="166" fontId="25" fillId="0" borderId="0" xfId="3" applyNumberFormat="1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25" fillId="4" borderId="8" xfId="0" applyFont="1" applyFill="1" applyBorder="1" applyAlignment="1">
      <alignment vertical="center"/>
    </xf>
    <xf numFmtId="9" fontId="0" fillId="3" borderId="1" xfId="3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7" fontId="25" fillId="0" borderId="1" xfId="3" applyNumberFormat="1" applyFont="1" applyBorder="1" applyAlignment="1">
      <alignment horizontal="center" vertical="center"/>
    </xf>
    <xf numFmtId="9" fontId="0" fillId="0" borderId="1" xfId="3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25" fillId="4" borderId="10" xfId="0" applyFont="1" applyFill="1" applyBorder="1" applyAlignment="1">
      <alignment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67" fontId="25" fillId="0" borderId="11" xfId="3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173" fontId="40" fillId="0" borderId="0" xfId="3" applyNumberFormat="1" applyFont="1" applyBorder="1" applyAlignment="1">
      <alignment horizontal="center" vertical="center"/>
    </xf>
    <xf numFmtId="174" fontId="0" fillId="0" borderId="0" xfId="0" applyNumberFormat="1" applyAlignment="1">
      <alignment vertical="center"/>
    </xf>
    <xf numFmtId="9" fontId="40" fillId="0" borderId="0" xfId="3" applyFont="1" applyBorder="1" applyAlignment="1">
      <alignment horizontal="center" vertical="center"/>
    </xf>
    <xf numFmtId="0" fontId="0" fillId="7" borderId="13" xfId="0" applyFill="1" applyBorder="1" applyAlignment="1">
      <alignment vertical="center"/>
    </xf>
    <xf numFmtId="0" fontId="0" fillId="7" borderId="13" xfId="0" applyFill="1" applyBorder="1" applyAlignment="1">
      <alignment horizontal="center" vertical="center"/>
    </xf>
    <xf numFmtId="0" fontId="0" fillId="7" borderId="14" xfId="0" applyFill="1" applyBorder="1" applyAlignment="1">
      <alignment vertical="center"/>
    </xf>
    <xf numFmtId="0" fontId="0" fillId="7" borderId="14" xfId="0" applyFill="1" applyBorder="1" applyAlignment="1">
      <alignment horizontal="center" vertical="center"/>
    </xf>
    <xf numFmtId="0" fontId="21" fillId="0" borderId="0" xfId="8" applyBorder="1" applyAlignment="1">
      <alignment vertical="center"/>
    </xf>
    <xf numFmtId="0" fontId="25" fillId="0" borderId="4" xfId="8" applyFont="1" applyBorder="1" applyAlignment="1">
      <alignment vertical="center"/>
    </xf>
    <xf numFmtId="0" fontId="21" fillId="0" borderId="0" xfId="8" applyAlignment="1">
      <alignment horizontal="center" vertical="center"/>
    </xf>
    <xf numFmtId="0" fontId="21" fillId="0" borderId="0" xfId="8" applyAlignment="1">
      <alignment vertical="center"/>
    </xf>
    <xf numFmtId="0" fontId="21" fillId="0" borderId="0" xfId="8" applyAlignment="1">
      <alignment vertical="center" wrapText="1"/>
    </xf>
    <xf numFmtId="0" fontId="44" fillId="0" borderId="1" xfId="8" applyFont="1" applyFill="1" applyBorder="1" applyAlignment="1">
      <alignment vertical="center"/>
    </xf>
    <xf numFmtId="0" fontId="45" fillId="3" borderId="1" xfId="8" applyFont="1" applyFill="1" applyBorder="1" applyAlignment="1">
      <alignment vertical="center"/>
    </xf>
    <xf numFmtId="0" fontId="45" fillId="0" borderId="1" xfId="8" applyFont="1" applyFill="1" applyBorder="1" applyAlignment="1">
      <alignment vertical="center"/>
    </xf>
    <xf numFmtId="0" fontId="44" fillId="0" borderId="17" xfId="8" applyFont="1" applyFill="1" applyBorder="1" applyAlignment="1">
      <alignment vertical="center"/>
    </xf>
    <xf numFmtId="0" fontId="46" fillId="0" borderId="0" xfId="8" applyFont="1" applyFill="1" applyBorder="1" applyAlignment="1">
      <alignment vertical="center"/>
    </xf>
    <xf numFmtId="0" fontId="46" fillId="0" borderId="0" xfId="8" applyFont="1" applyFill="1" applyBorder="1" applyAlignment="1">
      <alignment horizontal="center" vertical="center" wrapText="1"/>
    </xf>
    <xf numFmtId="0" fontId="45" fillId="7" borderId="1" xfId="8" applyFont="1" applyFill="1" applyBorder="1" applyAlignment="1">
      <alignment vertical="center"/>
    </xf>
    <xf numFmtId="0" fontId="47" fillId="0" borderId="3" xfId="8" applyFont="1" applyFill="1" applyBorder="1" applyAlignment="1">
      <alignment horizontal="center" vertical="center" wrapText="1"/>
    </xf>
    <xf numFmtId="0" fontId="45" fillId="6" borderId="1" xfId="8" applyFont="1" applyFill="1" applyBorder="1" applyAlignment="1">
      <alignment vertical="center"/>
    </xf>
    <xf numFmtId="0" fontId="44" fillId="0" borderId="0" xfId="8" applyFont="1" applyFill="1" applyBorder="1" applyAlignment="1">
      <alignment vertical="center"/>
    </xf>
    <xf numFmtId="0" fontId="47" fillId="0" borderId="0" xfId="8" applyFont="1" applyFill="1" applyBorder="1" applyAlignment="1">
      <alignment vertical="center"/>
    </xf>
    <xf numFmtId="0" fontId="44" fillId="0" borderId="1" xfId="8" applyFont="1" applyFill="1" applyBorder="1" applyAlignment="1">
      <alignment horizontal="left" vertical="center"/>
    </xf>
    <xf numFmtId="0" fontId="21" fillId="0" borderId="0" xfId="8" applyFill="1" applyBorder="1" applyAlignment="1">
      <alignment vertical="center"/>
    </xf>
    <xf numFmtId="0" fontId="21" fillId="0" borderId="0" xfId="8" applyFill="1" applyBorder="1" applyAlignment="1">
      <alignment vertical="center" wrapText="1"/>
    </xf>
    <xf numFmtId="0" fontId="48" fillId="0" borderId="0" xfId="8" applyFont="1" applyFill="1" applyBorder="1" applyAlignment="1">
      <alignment vertical="center"/>
    </xf>
    <xf numFmtId="0" fontId="48" fillId="0" borderId="0" xfId="8" applyFont="1" applyFill="1" applyBorder="1" applyAlignment="1">
      <alignment vertical="center" wrapText="1"/>
    </xf>
    <xf numFmtId="0" fontId="21" fillId="0" borderId="0" xfId="8" applyAlignment="1">
      <alignment horizontal="center" vertical="center" wrapText="1"/>
    </xf>
    <xf numFmtId="0" fontId="45" fillId="0" borderId="1" xfId="8" applyFont="1" applyFill="1" applyBorder="1" applyAlignment="1">
      <alignment horizontal="center" vertical="center"/>
    </xf>
    <xf numFmtId="0" fontId="45" fillId="0" borderId="1" xfId="8" applyFont="1" applyFill="1" applyBorder="1" applyAlignment="1">
      <alignment horizontal="center" vertical="center" wrapText="1"/>
    </xf>
    <xf numFmtId="0" fontId="21" fillId="0" borderId="1" xfId="8" applyBorder="1" applyAlignment="1">
      <alignment vertical="center"/>
    </xf>
    <xf numFmtId="0" fontId="44" fillId="0" borderId="1" xfId="8" applyFont="1" applyFill="1" applyBorder="1" applyAlignment="1">
      <alignment horizontal="center" vertical="center"/>
    </xf>
    <xf numFmtId="175" fontId="44" fillId="0" borderId="1" xfId="8" applyNumberFormat="1" applyFont="1" applyFill="1" applyBorder="1" applyAlignment="1">
      <alignment horizontal="center" vertical="center"/>
    </xf>
    <xf numFmtId="165" fontId="44" fillId="6" borderId="1" xfId="6" applyFont="1" applyFill="1" applyBorder="1" applyAlignment="1">
      <alignment vertical="center"/>
    </xf>
    <xf numFmtId="165" fontId="44" fillId="0" borderId="1" xfId="6" applyFont="1" applyFill="1" applyBorder="1" applyAlignment="1">
      <alignment horizontal="center" vertical="center"/>
    </xf>
    <xf numFmtId="166" fontId="44" fillId="0" borderId="1" xfId="5" applyNumberFormat="1" applyFont="1" applyFill="1" applyBorder="1" applyAlignment="1">
      <alignment vertical="center"/>
    </xf>
    <xf numFmtId="10" fontId="21" fillId="0" borderId="1" xfId="8" applyNumberFormat="1" applyFill="1" applyBorder="1" applyAlignment="1">
      <alignment vertical="center"/>
    </xf>
    <xf numFmtId="165" fontId="0" fillId="6" borderId="1" xfId="6" applyFont="1" applyFill="1" applyBorder="1" applyAlignment="1">
      <alignment vertical="center"/>
    </xf>
    <xf numFmtId="0" fontId="48" fillId="0" borderId="0" xfId="8" applyFont="1" applyFill="1" applyBorder="1" applyAlignment="1">
      <alignment horizontal="center" vertical="center"/>
    </xf>
    <xf numFmtId="165" fontId="48" fillId="0" borderId="0" xfId="8" applyNumberFormat="1" applyFont="1" applyFill="1" applyBorder="1" applyAlignment="1">
      <alignment vertical="center"/>
    </xf>
    <xf numFmtId="10" fontId="48" fillId="0" borderId="0" xfId="8" applyNumberFormat="1" applyFont="1" applyFill="1" applyBorder="1" applyAlignment="1">
      <alignment vertical="center"/>
    </xf>
    <xf numFmtId="176" fontId="21" fillId="0" borderId="0" xfId="8" applyNumberFormat="1" applyFill="1" applyBorder="1" applyAlignment="1">
      <alignment vertical="center"/>
    </xf>
    <xf numFmtId="176" fontId="21" fillId="0" borderId="0" xfId="8" applyNumberFormat="1" applyAlignment="1">
      <alignment vertical="center"/>
    </xf>
    <xf numFmtId="167" fontId="44" fillId="0" borderId="1" xfId="6" applyNumberFormat="1" applyFont="1" applyFill="1" applyBorder="1" applyAlignment="1">
      <alignment vertical="center"/>
    </xf>
    <xf numFmtId="167" fontId="21" fillId="6" borderId="1" xfId="8" applyNumberFormat="1" applyFill="1" applyBorder="1" applyAlignment="1">
      <alignment vertical="center"/>
    </xf>
    <xf numFmtId="1" fontId="44" fillId="0" borderId="1" xfId="8" applyNumberFormat="1" applyFont="1" applyFill="1" applyBorder="1" applyAlignment="1">
      <alignment horizontal="center" vertical="center"/>
    </xf>
    <xf numFmtId="0" fontId="44" fillId="0" borderId="1" xfId="8" applyFont="1" applyFill="1" applyBorder="1" applyAlignment="1">
      <alignment horizontal="left"/>
    </xf>
    <xf numFmtId="0" fontId="44" fillId="5" borderId="1" xfId="0" applyFont="1" applyFill="1" applyBorder="1" applyAlignment="1">
      <alignment horizontal="left" vertical="center"/>
    </xf>
    <xf numFmtId="1" fontId="44" fillId="0" borderId="1" xfId="0" applyNumberFormat="1" applyFont="1" applyFill="1" applyBorder="1" applyAlignment="1">
      <alignment horizontal="center" vertical="center"/>
    </xf>
    <xf numFmtId="167" fontId="44" fillId="3" borderId="1" xfId="6" applyNumberFormat="1" applyFont="1" applyFill="1" applyBorder="1" applyAlignment="1">
      <alignment vertical="center"/>
    </xf>
    <xf numFmtId="44" fontId="21" fillId="0" borderId="0" xfId="8" applyNumberFormat="1" applyAlignment="1">
      <alignment vertical="center"/>
    </xf>
    <xf numFmtId="0" fontId="44" fillId="8" borderId="1" xfId="0" applyFont="1" applyFill="1" applyBorder="1" applyAlignment="1">
      <alignment horizontal="left" vertical="center" wrapText="1"/>
    </xf>
    <xf numFmtId="43" fontId="48" fillId="0" borderId="0" xfId="8" applyNumberFormat="1" applyFont="1" applyFill="1" applyBorder="1" applyAlignment="1">
      <alignment vertical="center"/>
    </xf>
    <xf numFmtId="0" fontId="44" fillId="3" borderId="1" xfId="8" applyFont="1" applyFill="1" applyBorder="1" applyAlignment="1">
      <alignment vertical="center"/>
    </xf>
    <xf numFmtId="10" fontId="21" fillId="0" borderId="0" xfId="8" applyNumberFormat="1" applyFill="1" applyBorder="1" applyAlignment="1">
      <alignment vertical="center"/>
    </xf>
    <xf numFmtId="0" fontId="44" fillId="9" borderId="1" xfId="8" applyFont="1" applyFill="1" applyBorder="1" applyAlignment="1">
      <alignment vertical="center"/>
    </xf>
    <xf numFmtId="1" fontId="44" fillId="10" borderId="1" xfId="8" applyNumberFormat="1" applyFont="1" applyFill="1" applyBorder="1" applyAlignment="1">
      <alignment horizontal="center" vertical="center"/>
    </xf>
    <xf numFmtId="44" fontId="21" fillId="0" borderId="0" xfId="8" applyNumberFormat="1" applyFill="1" applyBorder="1" applyAlignment="1">
      <alignment vertical="center"/>
    </xf>
    <xf numFmtId="165" fontId="44" fillId="0" borderId="1" xfId="6" applyFont="1" applyFill="1" applyBorder="1" applyAlignment="1"/>
    <xf numFmtId="43" fontId="21" fillId="0" borderId="0" xfId="8" applyNumberFormat="1" applyFill="1" applyBorder="1" applyAlignment="1">
      <alignment vertical="center"/>
    </xf>
    <xf numFmtId="165" fontId="44" fillId="3" borderId="1" xfId="6" applyFont="1" applyFill="1" applyBorder="1" applyAlignment="1">
      <alignment vertical="center"/>
    </xf>
    <xf numFmtId="165" fontId="21" fillId="0" borderId="0" xfId="8" applyNumberFormat="1" applyAlignment="1">
      <alignment vertical="center"/>
    </xf>
    <xf numFmtId="2" fontId="35" fillId="0" borderId="0" xfId="8" applyNumberFormat="1" applyFont="1" applyFill="1" applyAlignment="1">
      <alignment horizontal="right" vertical="center"/>
    </xf>
    <xf numFmtId="0" fontId="47" fillId="0" borderId="1" xfId="8" applyFont="1" applyFill="1" applyBorder="1" applyAlignment="1">
      <alignment horizontal="center" vertical="center"/>
    </xf>
    <xf numFmtId="165" fontId="44" fillId="0" borderId="1" xfId="6" applyFont="1" applyFill="1" applyBorder="1" applyAlignment="1">
      <alignment vertical="center"/>
    </xf>
    <xf numFmtId="49" fontId="21" fillId="0" borderId="0" xfId="8" applyNumberFormat="1" applyAlignment="1">
      <alignment vertical="center"/>
    </xf>
    <xf numFmtId="0" fontId="45" fillId="0" borderId="1" xfId="8" applyFont="1" applyFill="1" applyBorder="1" applyAlignment="1">
      <alignment horizontal="left" vertical="center"/>
    </xf>
    <xf numFmtId="1" fontId="44" fillId="0" borderId="1" xfId="8" applyNumberFormat="1" applyFont="1" applyFill="1" applyBorder="1" applyAlignment="1">
      <alignment vertical="center"/>
    </xf>
    <xf numFmtId="165" fontId="44" fillId="10" borderId="1" xfId="6" applyFont="1" applyFill="1" applyBorder="1" applyAlignment="1">
      <alignment vertical="center"/>
    </xf>
    <xf numFmtId="10" fontId="21" fillId="0" borderId="0" xfId="8" applyNumberFormat="1" applyAlignment="1">
      <alignment vertical="center"/>
    </xf>
    <xf numFmtId="0" fontId="21" fillId="0" borderId="0" xfId="8" applyFill="1" applyAlignment="1">
      <alignment vertical="center"/>
    </xf>
    <xf numFmtId="165" fontId="49" fillId="0" borderId="0" xfId="8" applyNumberFormat="1" applyFont="1" applyFill="1" applyAlignment="1">
      <alignment vertical="center"/>
    </xf>
    <xf numFmtId="49" fontId="49" fillId="0" borderId="0" xfId="8" applyNumberFormat="1" applyFont="1" applyFill="1" applyAlignment="1">
      <alignment vertical="center"/>
    </xf>
    <xf numFmtId="49" fontId="21" fillId="0" borderId="0" xfId="8" applyNumberFormat="1" applyFill="1" applyAlignment="1">
      <alignment vertical="center" wrapText="1"/>
    </xf>
    <xf numFmtId="49" fontId="21" fillId="0" borderId="0" xfId="8" applyNumberFormat="1" applyFill="1" applyAlignment="1">
      <alignment vertical="center"/>
    </xf>
    <xf numFmtId="2" fontId="35" fillId="0" borderId="0" xfId="8" applyNumberFormat="1" applyFont="1" applyFill="1" applyAlignment="1">
      <alignment horizontal="right" vertical="center" wrapText="1"/>
    </xf>
    <xf numFmtId="2" fontId="35" fillId="0" borderId="0" xfId="8" applyNumberFormat="1" applyFont="1" applyAlignment="1">
      <alignment horizontal="right" vertical="center"/>
    </xf>
    <xf numFmtId="0" fontId="45" fillId="0" borderId="1" xfId="8" applyFont="1" applyFill="1" applyBorder="1" applyAlignment="1">
      <alignment horizontal="left" vertical="center" wrapText="1"/>
    </xf>
    <xf numFmtId="9" fontId="44" fillId="10" borderId="1" xfId="5" applyFont="1" applyFill="1" applyBorder="1" applyAlignment="1">
      <alignment vertical="center"/>
    </xf>
    <xf numFmtId="10" fontId="21" fillId="0" borderId="0" xfId="8" applyNumberFormat="1" applyFill="1" applyAlignment="1">
      <alignment vertical="center"/>
    </xf>
    <xf numFmtId="165" fontId="21" fillId="0" borderId="0" xfId="8" applyNumberFormat="1" applyFill="1" applyAlignment="1">
      <alignment vertical="center"/>
    </xf>
    <xf numFmtId="43" fontId="21" fillId="0" borderId="0" xfId="8" applyNumberFormat="1" applyFill="1" applyAlignment="1">
      <alignment vertical="center"/>
    </xf>
    <xf numFmtId="0" fontId="45" fillId="11" borderId="1" xfId="8" applyFont="1" applyFill="1" applyBorder="1" applyAlignment="1">
      <alignment horizontal="left" vertical="center"/>
    </xf>
    <xf numFmtId="0" fontId="45" fillId="11" borderId="1" xfId="8" applyFont="1" applyFill="1" applyBorder="1" applyAlignment="1">
      <alignment horizontal="center" vertical="center"/>
    </xf>
    <xf numFmtId="165" fontId="44" fillId="11" borderId="1" xfId="6" applyFont="1" applyFill="1" applyBorder="1" applyAlignment="1">
      <alignment vertical="center"/>
    </xf>
    <xf numFmtId="43" fontId="44" fillId="11" borderId="1" xfId="6" applyNumberFormat="1" applyFont="1" applyFill="1" applyBorder="1" applyAlignment="1">
      <alignment horizontal="center" vertical="center"/>
    </xf>
    <xf numFmtId="166" fontId="44" fillId="11" borderId="1" xfId="5" applyNumberFormat="1" applyFont="1" applyFill="1" applyBorder="1" applyAlignment="1">
      <alignment vertical="center"/>
    </xf>
    <xf numFmtId="0" fontId="50" fillId="0" borderId="0" xfId="8" applyFont="1" applyFill="1"/>
    <xf numFmtId="167" fontId="45" fillId="7" borderId="1" xfId="5" applyNumberFormat="1" applyFont="1" applyFill="1" applyBorder="1" applyAlignment="1">
      <alignment horizontal="center" vertical="center"/>
    </xf>
    <xf numFmtId="166" fontId="45" fillId="0" borderId="1" xfId="5" applyNumberFormat="1" applyFont="1" applyFill="1" applyBorder="1" applyAlignment="1">
      <alignment horizontal="center" vertical="center"/>
    </xf>
    <xf numFmtId="9" fontId="44" fillId="3" borderId="1" xfId="5" applyFont="1" applyFill="1" applyBorder="1" applyAlignment="1">
      <alignment vertical="center"/>
    </xf>
    <xf numFmtId="167" fontId="45" fillId="0" borderId="1" xfId="5" applyNumberFormat="1" applyFont="1" applyFill="1" applyBorder="1" applyAlignment="1">
      <alignment horizontal="center" vertical="center"/>
    </xf>
    <xf numFmtId="9" fontId="44" fillId="0" borderId="1" xfId="5" applyFont="1" applyFill="1" applyBorder="1" applyAlignment="1">
      <alignment vertical="center"/>
    </xf>
    <xf numFmtId="167" fontId="45" fillId="6" borderId="1" xfId="5" applyNumberFormat="1" applyFont="1" applyFill="1" applyBorder="1" applyAlignment="1">
      <alignment horizontal="center" vertical="center"/>
    </xf>
    <xf numFmtId="43" fontId="21" fillId="0" borderId="0" xfId="8" applyNumberFormat="1" applyAlignment="1">
      <alignment vertical="center"/>
    </xf>
    <xf numFmtId="2" fontId="36" fillId="0" borderId="0" xfId="8" applyNumberFormat="1" applyFont="1" applyFill="1" applyAlignment="1">
      <alignment horizontal="right" vertical="center" wrapText="1"/>
    </xf>
    <xf numFmtId="0" fontId="48" fillId="0" borderId="0" xfId="8" applyFont="1" applyFill="1" applyAlignment="1">
      <alignment vertical="center"/>
    </xf>
    <xf numFmtId="0" fontId="35" fillId="0" borderId="0" xfId="8" applyFont="1" applyAlignment="1">
      <alignment vertical="center"/>
    </xf>
    <xf numFmtId="167" fontId="48" fillId="0" borderId="0" xfId="8" applyNumberFormat="1" applyFont="1" applyFill="1" applyAlignment="1">
      <alignment vertical="center"/>
    </xf>
    <xf numFmtId="0" fontId="25" fillId="0" borderId="0" xfId="8" applyFont="1" applyFill="1" applyBorder="1" applyAlignment="1">
      <alignment horizontal="left" vertical="center"/>
    </xf>
    <xf numFmtId="0" fontId="21" fillId="0" borderId="0" xfId="8" applyFill="1" applyAlignment="1">
      <alignment vertical="center" wrapText="1"/>
    </xf>
    <xf numFmtId="0" fontId="21" fillId="0" borderId="1" xfId="8" applyBorder="1" applyAlignment="1">
      <alignment horizontal="center" vertical="center"/>
    </xf>
    <xf numFmtId="167" fontId="21" fillId="0" borderId="0" xfId="8" applyNumberFormat="1" applyFill="1" applyAlignment="1">
      <alignment vertical="center" wrapText="1"/>
    </xf>
    <xf numFmtId="167" fontId="51" fillId="0" borderId="0" xfId="8" applyNumberFormat="1" applyFont="1" applyFill="1" applyAlignment="1">
      <alignment vertical="center"/>
    </xf>
    <xf numFmtId="0" fontId="21" fillId="0" borderId="0" xfId="8" applyFill="1" applyAlignment="1">
      <alignment horizontal="center" vertical="center"/>
    </xf>
    <xf numFmtId="0" fontId="36" fillId="0" borderId="44" xfId="8" applyFont="1" applyFill="1" applyBorder="1" applyAlignment="1">
      <alignment horizontal="left" vertical="center"/>
    </xf>
    <xf numFmtId="0" fontId="21" fillId="0" borderId="22" xfId="8" applyBorder="1" applyAlignment="1">
      <alignment horizontal="center" vertical="center"/>
    </xf>
    <xf numFmtId="0" fontId="21" fillId="0" borderId="45" xfId="8" applyBorder="1" applyAlignment="1">
      <alignment vertical="center"/>
    </xf>
    <xf numFmtId="0" fontId="52" fillId="0" borderId="46" xfId="8" applyFont="1" applyBorder="1" applyAlignment="1">
      <alignment vertical="center"/>
    </xf>
    <xf numFmtId="0" fontId="21" fillId="0" borderId="0" xfId="8" applyBorder="1" applyAlignment="1">
      <alignment horizontal="center" vertical="center"/>
    </xf>
    <xf numFmtId="0" fontId="21" fillId="0" borderId="37" xfId="8" applyBorder="1" applyAlignment="1">
      <alignment vertical="center"/>
    </xf>
    <xf numFmtId="0" fontId="21" fillId="0" borderId="8" xfId="8" applyBorder="1" applyAlignment="1">
      <alignment vertical="center"/>
    </xf>
    <xf numFmtId="0" fontId="21" fillId="0" borderId="9" xfId="8" applyBorder="1" applyAlignment="1">
      <alignment vertical="center"/>
    </xf>
    <xf numFmtId="0" fontId="36" fillId="0" borderId="8" xfId="8" applyFont="1" applyBorder="1" applyAlignment="1">
      <alignment horizontal="right" vertical="center"/>
    </xf>
    <xf numFmtId="0" fontId="36" fillId="0" borderId="1" xfId="8" applyFont="1" applyBorder="1" applyAlignment="1">
      <alignment horizontal="center" vertical="center"/>
    </xf>
    <xf numFmtId="0" fontId="36" fillId="0" borderId="9" xfId="8" applyFont="1" applyBorder="1" applyAlignment="1">
      <alignment vertical="center"/>
    </xf>
    <xf numFmtId="0" fontId="21" fillId="0" borderId="0" xfId="8" applyFill="1" applyAlignment="1">
      <alignment horizontal="center" vertical="center" wrapText="1"/>
    </xf>
    <xf numFmtId="0" fontId="21" fillId="0" borderId="46" xfId="8" applyBorder="1" applyAlignment="1">
      <alignment vertical="center"/>
    </xf>
    <xf numFmtId="2" fontId="21" fillId="0" borderId="0" xfId="8" applyNumberFormat="1" applyFill="1" applyAlignment="1">
      <alignment vertical="center"/>
    </xf>
    <xf numFmtId="0" fontId="35" fillId="12" borderId="8" xfId="8" applyFont="1" applyFill="1" applyBorder="1" applyAlignment="1">
      <alignment vertical="center"/>
    </xf>
    <xf numFmtId="0" fontId="35" fillId="0" borderId="8" xfId="8" applyFont="1" applyBorder="1" applyAlignment="1">
      <alignment vertical="center"/>
    </xf>
    <xf numFmtId="0" fontId="22" fillId="0" borderId="0" xfId="8" applyFont="1" applyFill="1" applyBorder="1" applyAlignment="1">
      <alignment vertical="center" wrapText="1"/>
    </xf>
    <xf numFmtId="0" fontId="22" fillId="0" borderId="0" xfId="8" applyFont="1" applyFill="1" applyBorder="1" applyAlignment="1">
      <alignment horizontal="right" vertical="center" wrapText="1"/>
    </xf>
    <xf numFmtId="0" fontId="22" fillId="0" borderId="0" xfId="8" applyFont="1" applyBorder="1" applyAlignment="1">
      <alignment vertical="center" wrapText="1"/>
    </xf>
    <xf numFmtId="0" fontId="22" fillId="0" borderId="0" xfId="8" applyFont="1" applyBorder="1" applyAlignment="1">
      <alignment horizontal="right" vertical="center" wrapText="1"/>
    </xf>
    <xf numFmtId="0" fontId="21" fillId="0" borderId="2" xfId="8" applyBorder="1" applyAlignment="1">
      <alignment horizontal="center" vertical="center"/>
    </xf>
    <xf numFmtId="1" fontId="21" fillId="0" borderId="26" xfId="8" applyNumberFormat="1" applyBorder="1" applyAlignment="1">
      <alignment horizontal="right" vertical="center"/>
    </xf>
    <xf numFmtId="0" fontId="22" fillId="0" borderId="0" xfId="8" applyFont="1" applyBorder="1" applyAlignment="1">
      <alignment horizontal="center" vertical="center" wrapText="1"/>
    </xf>
    <xf numFmtId="1" fontId="21" fillId="0" borderId="40" xfId="8" applyNumberFormat="1" applyBorder="1" applyAlignment="1">
      <alignment vertical="center"/>
    </xf>
    <xf numFmtId="1" fontId="21" fillId="0" borderId="18" xfId="8" applyNumberFormat="1" applyBorder="1" applyAlignment="1">
      <alignment vertical="center"/>
    </xf>
    <xf numFmtId="0" fontId="21" fillId="0" borderId="38" xfId="8" applyBorder="1" applyAlignment="1">
      <alignment vertical="center"/>
    </xf>
    <xf numFmtId="0" fontId="21" fillId="0" borderId="26" xfId="8" applyBorder="1" applyAlignment="1">
      <alignment vertical="center"/>
    </xf>
    <xf numFmtId="0" fontId="36" fillId="0" borderId="10" xfId="8" applyFont="1" applyBorder="1" applyAlignment="1">
      <alignment horizontal="right" vertical="center"/>
    </xf>
    <xf numFmtId="0" fontId="36" fillId="0" borderId="11" xfId="8" applyFont="1" applyBorder="1" applyAlignment="1">
      <alignment horizontal="center" vertical="center"/>
    </xf>
    <xf numFmtId="0" fontId="36" fillId="0" borderId="12" xfId="8" applyFont="1" applyBorder="1" applyAlignment="1">
      <alignment vertical="center"/>
    </xf>
    <xf numFmtId="0" fontId="53" fillId="0" borderId="0" xfId="0" applyFont="1" applyAlignment="1">
      <alignment vertical="center"/>
    </xf>
    <xf numFmtId="43" fontId="35" fillId="0" borderId="0" xfId="1" applyFont="1" applyAlignment="1">
      <alignment horizontal="center" vertical="center"/>
    </xf>
    <xf numFmtId="43" fontId="21" fillId="0" borderId="0" xfId="8" applyNumberForma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0" fillId="13" borderId="20" xfId="0" applyFont="1" applyFill="1" applyBorder="1" applyAlignment="1">
      <alignment horizontal="center" vertical="center" wrapText="1"/>
    </xf>
    <xf numFmtId="0" fontId="29" fillId="13" borderId="20" xfId="0" applyFont="1" applyFill="1" applyBorder="1" applyAlignment="1">
      <alignment horizontal="center" vertical="center" wrapText="1"/>
    </xf>
    <xf numFmtId="0" fontId="28" fillId="13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5" fillId="0" borderId="20" xfId="0" applyFont="1" applyBorder="1" applyAlignment="1">
      <alignment vertical="center"/>
    </xf>
    <xf numFmtId="0" fontId="55" fillId="0" borderId="15" xfId="0" applyFont="1" applyBorder="1" applyAlignment="1">
      <alignment horizontal="center" vertical="center"/>
    </xf>
    <xf numFmtId="0" fontId="55" fillId="0" borderId="19" xfId="0" applyFont="1" applyBorder="1" applyAlignment="1">
      <alignment vertical="center"/>
    </xf>
    <xf numFmtId="0" fontId="55" fillId="0" borderId="3" xfId="0" applyFont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4" fillId="0" borderId="45" xfId="0" applyFont="1" applyBorder="1" applyAlignment="1">
      <alignment horizontal="center" vertical="center"/>
    </xf>
    <xf numFmtId="0" fontId="54" fillId="0" borderId="3" xfId="0" applyFont="1" applyFill="1" applyBorder="1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0" fontId="55" fillId="0" borderId="19" xfId="0" applyFont="1" applyBorder="1" applyAlignment="1">
      <alignment horizontal="center" vertical="center"/>
    </xf>
    <xf numFmtId="0" fontId="55" fillId="0" borderId="13" xfId="0" applyFont="1" applyBorder="1" applyAlignment="1">
      <alignment horizontal="center" vertical="center"/>
    </xf>
    <xf numFmtId="0" fontId="55" fillId="0" borderId="22" xfId="0" applyFont="1" applyFill="1" applyBorder="1" applyAlignment="1">
      <alignment vertical="center"/>
    </xf>
    <xf numFmtId="0" fontId="56" fillId="0" borderId="3" xfId="0" applyFont="1" applyFill="1" applyBorder="1" applyAlignment="1">
      <alignment horizontal="center" vertical="center" wrapText="1"/>
    </xf>
    <xf numFmtId="0" fontId="55" fillId="0" borderId="3" xfId="0" applyFont="1" applyFill="1" applyBorder="1" applyAlignment="1">
      <alignment vertical="center"/>
    </xf>
    <xf numFmtId="0" fontId="55" fillId="0" borderId="20" xfId="0" applyFont="1" applyBorder="1" applyAlignment="1">
      <alignment vertical="center"/>
    </xf>
    <xf numFmtId="0" fontId="25" fillId="4" borderId="38" xfId="4" applyFont="1" applyFill="1" applyBorder="1" applyAlignment="1">
      <alignment vertical="center" wrapText="1"/>
    </xf>
    <xf numFmtId="0" fontId="25" fillId="4" borderId="1" xfId="4" applyFont="1" applyFill="1" applyBorder="1" applyAlignment="1">
      <alignment vertical="center" wrapText="1"/>
    </xf>
    <xf numFmtId="0" fontId="25" fillId="8" borderId="1" xfId="0" applyFont="1" applyFill="1" applyBorder="1" applyAlignment="1">
      <alignment horizontal="center" vertical="center" textRotation="90" wrapText="1"/>
    </xf>
    <xf numFmtId="0" fontId="25" fillId="8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14" borderId="1" xfId="0" applyFill="1" applyBorder="1"/>
    <xf numFmtId="1" fontId="0" fillId="14" borderId="1" xfId="0" applyNumberFormat="1" applyFill="1" applyBorder="1"/>
    <xf numFmtId="4" fontId="0" fillId="14" borderId="1" xfId="0" applyNumberFormat="1" applyFill="1" applyBorder="1"/>
    <xf numFmtId="9" fontId="0" fillId="14" borderId="1" xfId="0" applyNumberFormat="1" applyFill="1" applyBorder="1"/>
    <xf numFmtId="2" fontId="0" fillId="14" borderId="1" xfId="0" applyNumberFormat="1" applyFill="1" applyBorder="1"/>
    <xf numFmtId="2" fontId="0" fillId="0" borderId="0" xfId="0" applyNumberFormat="1"/>
    <xf numFmtId="0" fontId="0" fillId="11" borderId="1" xfId="0" applyFill="1" applyBorder="1"/>
    <xf numFmtId="2" fontId="0" fillId="11" borderId="1" xfId="0" applyNumberFormat="1" applyFill="1" applyBorder="1"/>
    <xf numFmtId="9" fontId="0" fillId="11" borderId="1" xfId="0" applyNumberFormat="1" applyFill="1" applyBorder="1"/>
    <xf numFmtId="0" fontId="0" fillId="5" borderId="1" xfId="0" applyFill="1" applyBorder="1"/>
    <xf numFmtId="2" fontId="0" fillId="5" borderId="1" xfId="0" applyNumberFormat="1" applyFill="1" applyBorder="1"/>
    <xf numFmtId="9" fontId="0" fillId="5" borderId="1" xfId="0" applyNumberFormat="1" applyFill="1" applyBorder="1"/>
    <xf numFmtId="0" fontId="0" fillId="15" borderId="1" xfId="0" applyFill="1" applyBorder="1"/>
    <xf numFmtId="9" fontId="0" fillId="15" borderId="1" xfId="0" applyNumberFormat="1" applyFill="1" applyBorder="1"/>
    <xf numFmtId="2" fontId="0" fillId="15" borderId="1" xfId="0" applyNumberFormat="1" applyFill="1" applyBorder="1"/>
    <xf numFmtId="0" fontId="0" fillId="13" borderId="1" xfId="0" applyFill="1" applyBorder="1"/>
    <xf numFmtId="2" fontId="0" fillId="13" borderId="1" xfId="0" applyNumberFormat="1" applyFill="1" applyBorder="1"/>
    <xf numFmtId="9" fontId="0" fillId="13" borderId="1" xfId="0" applyNumberFormat="1" applyFill="1" applyBorder="1"/>
    <xf numFmtId="0" fontId="0" fillId="16" borderId="1" xfId="0" applyFill="1" applyBorder="1"/>
    <xf numFmtId="2" fontId="0" fillId="16" borderId="1" xfId="0" applyNumberFormat="1" applyFill="1" applyBorder="1"/>
    <xf numFmtId="9" fontId="0" fillId="16" borderId="1" xfId="0" applyNumberFormat="1" applyFill="1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7" borderId="1" xfId="0" applyFill="1" applyBorder="1"/>
    <xf numFmtId="4" fontId="58" fillId="17" borderId="1" xfId="0" applyNumberFormat="1" applyFont="1" applyFill="1" applyBorder="1" applyAlignment="1">
      <alignment horizontal="right" vertical="top" wrapText="1"/>
    </xf>
    <xf numFmtId="2" fontId="0" fillId="17" borderId="1" xfId="0" applyNumberFormat="1" applyFill="1" applyBorder="1"/>
    <xf numFmtId="4" fontId="58" fillId="17" borderId="1" xfId="0" applyNumberFormat="1" applyFont="1" applyFill="1" applyBorder="1" applyAlignment="1">
      <alignment vertical="top" wrapText="1"/>
    </xf>
    <xf numFmtId="9" fontId="0" fillId="17" borderId="1" xfId="0" applyNumberFormat="1" applyFill="1" applyBorder="1"/>
    <xf numFmtId="14" fontId="25" fillId="18" borderId="1" xfId="15" applyNumberFormat="1" applyFont="1" applyFill="1" applyBorder="1" applyAlignment="1">
      <alignment horizontal="center" vertical="center" wrapText="1"/>
    </xf>
    <xf numFmtId="177" fontId="25" fillId="18" borderId="1" xfId="15" applyNumberFormat="1" applyFont="1" applyFill="1" applyBorder="1" applyAlignment="1">
      <alignment horizontal="center" vertical="center" wrapText="1"/>
    </xf>
    <xf numFmtId="14" fontId="57" fillId="0" borderId="1" xfId="15" applyNumberFormat="1" applyFont="1" applyFill="1" applyBorder="1" applyAlignment="1">
      <alignment horizontal="center" vertical="center" shrinkToFit="1"/>
    </xf>
    <xf numFmtId="0" fontId="57" fillId="0" borderId="1" xfId="15" applyNumberFormat="1" applyFont="1" applyFill="1" applyBorder="1" applyAlignment="1">
      <alignment horizontal="center" vertical="center"/>
    </xf>
    <xf numFmtId="0" fontId="57" fillId="0" borderId="1" xfId="15" applyNumberFormat="1" applyFont="1" applyFill="1" applyBorder="1" applyAlignment="1" applyProtection="1">
      <alignment horizontal="center" vertical="center" shrinkToFit="1"/>
      <protection hidden="1"/>
    </xf>
    <xf numFmtId="0" fontId="57" fillId="0" borderId="1" xfId="15" applyNumberFormat="1" applyFont="1" applyFill="1" applyBorder="1" applyAlignment="1">
      <alignment horizontal="center" vertical="center" shrinkToFit="1"/>
    </xf>
    <xf numFmtId="14" fontId="57" fillId="0" borderId="1" xfId="15" applyNumberFormat="1" applyFont="1" applyFill="1" applyBorder="1" applyAlignment="1">
      <alignment horizontal="center" vertical="center"/>
    </xf>
    <xf numFmtId="177" fontId="59" fillId="0" borderId="1" xfId="15" applyNumberFormat="1" applyFont="1" applyFill="1" applyBorder="1" applyAlignment="1">
      <alignment horizontal="center" vertical="center"/>
    </xf>
    <xf numFmtId="2" fontId="59" fillId="0" borderId="1" xfId="15" applyNumberFormat="1" applyFont="1" applyFill="1" applyBorder="1" applyAlignment="1">
      <alignment horizontal="center" vertical="center"/>
    </xf>
    <xf numFmtId="43" fontId="35" fillId="0" borderId="0" xfId="4" applyNumberFormat="1"/>
    <xf numFmtId="4" fontId="58" fillId="19" borderId="1" xfId="0" applyNumberFormat="1" applyFont="1" applyFill="1" applyBorder="1" applyAlignment="1">
      <alignment horizontal="right" vertical="center" wrapText="1"/>
    </xf>
    <xf numFmtId="2" fontId="0" fillId="19" borderId="1" xfId="0" applyNumberFormat="1" applyFill="1" applyBorder="1" applyAlignment="1">
      <alignment horizontal="right" vertical="center"/>
    </xf>
    <xf numFmtId="9" fontId="0" fillId="19" borderId="1" xfId="0" applyNumberFormat="1" applyFill="1" applyBorder="1" applyAlignment="1">
      <alignment horizontal="right" vertical="center"/>
    </xf>
    <xf numFmtId="0" fontId="35" fillId="0" borderId="32" xfId="4" applyFont="1" applyFill="1" applyBorder="1" applyAlignment="1">
      <alignment vertical="center"/>
    </xf>
    <xf numFmtId="0" fontId="35" fillId="0" borderId="17" xfId="4" applyFont="1" applyFill="1" applyBorder="1" applyAlignment="1">
      <alignment horizontal="center" vertical="center"/>
    </xf>
    <xf numFmtId="1" fontId="35" fillId="0" borderId="17" xfId="4" applyNumberFormat="1" applyFont="1" applyFill="1" applyBorder="1" applyAlignment="1">
      <alignment horizontal="center" vertical="center"/>
    </xf>
    <xf numFmtId="0" fontId="35" fillId="0" borderId="1" xfId="4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0" borderId="1" xfId="0" applyFill="1" applyBorder="1"/>
    <xf numFmtId="2" fontId="0" fillId="20" borderId="1" xfId="0" applyNumberFormat="1" applyFill="1" applyBorder="1"/>
    <xf numFmtId="2" fontId="0" fillId="20" borderId="1" xfId="0" applyNumberFormat="1" applyFill="1" applyBorder="1" applyAlignment="1">
      <alignment horizontal="right" vertical="center"/>
    </xf>
    <xf numFmtId="4" fontId="58" fillId="20" borderId="1" xfId="0" applyNumberFormat="1" applyFont="1" applyFill="1" applyBorder="1" applyAlignment="1">
      <alignment horizontal="right" vertical="center" wrapText="1"/>
    </xf>
    <xf numFmtId="9" fontId="0" fillId="20" borderId="1" xfId="0" applyNumberFormat="1" applyFill="1" applyBorder="1" applyAlignment="1">
      <alignment horizontal="right" vertical="center"/>
    </xf>
    <xf numFmtId="0" fontId="18" fillId="0" borderId="0" xfId="16" applyAlignment="1">
      <alignment vertical="center"/>
    </xf>
    <xf numFmtId="0" fontId="18" fillId="12" borderId="0" xfId="16" applyFill="1" applyAlignment="1">
      <alignment vertical="center"/>
    </xf>
    <xf numFmtId="0" fontId="18" fillId="0" borderId="0" xfId="16" applyFont="1" applyAlignment="1">
      <alignment horizontal="left" vertical="center"/>
    </xf>
    <xf numFmtId="0" fontId="25" fillId="4" borderId="0" xfId="4" applyFont="1" applyFill="1" applyBorder="1" applyAlignment="1">
      <alignment horizontal="center" vertical="center" wrapText="1"/>
    </xf>
    <xf numFmtId="43" fontId="25" fillId="0" borderId="1" xfId="5" applyNumberFormat="1" applyFont="1" applyBorder="1" applyAlignment="1">
      <alignment horizontal="center" vertical="center"/>
    </xf>
    <xf numFmtId="166" fontId="35" fillId="0" borderId="0" xfId="5" applyNumberFormat="1" applyFont="1" applyBorder="1" applyAlignment="1">
      <alignment vertical="center"/>
    </xf>
    <xf numFmtId="166" fontId="35" fillId="0" borderId="0" xfId="5" applyNumberFormat="1" applyFont="1" applyFill="1" applyBorder="1" applyAlignment="1">
      <alignment vertical="center"/>
    </xf>
    <xf numFmtId="9" fontId="35" fillId="0" borderId="0" xfId="4" applyNumberFormat="1" applyAlignment="1">
      <alignment vertical="center"/>
    </xf>
    <xf numFmtId="0" fontId="25" fillId="0" borderId="57" xfId="4" applyFont="1" applyBorder="1" applyAlignment="1">
      <alignment horizontal="center" vertical="center"/>
    </xf>
    <xf numFmtId="1" fontId="35" fillId="0" borderId="57" xfId="4" applyNumberFormat="1" applyFont="1" applyBorder="1" applyAlignment="1">
      <alignment horizontal="center" vertical="center"/>
    </xf>
    <xf numFmtId="43" fontId="35" fillId="0" borderId="57" xfId="4" applyNumberFormat="1" applyBorder="1" applyAlignment="1">
      <alignment vertical="center"/>
    </xf>
    <xf numFmtId="0" fontId="36" fillId="4" borderId="1" xfId="4" applyFont="1" applyFill="1" applyBorder="1" applyAlignment="1">
      <alignment horizontal="center" vertical="center"/>
    </xf>
    <xf numFmtId="0" fontId="25" fillId="4" borderId="1" xfId="4" applyFont="1" applyFill="1" applyBorder="1" applyAlignment="1">
      <alignment horizontal="center" vertical="center"/>
    </xf>
    <xf numFmtId="0" fontId="25" fillId="4" borderId="1" xfId="4" applyFont="1" applyFill="1" applyBorder="1" applyAlignment="1">
      <alignment horizontal="center" vertical="center" wrapText="1"/>
    </xf>
    <xf numFmtId="9" fontId="0" fillId="0" borderId="0" xfId="0" applyNumberFormat="1"/>
    <xf numFmtId="43" fontId="35" fillId="0" borderId="17" xfId="1" applyFont="1" applyBorder="1" applyAlignment="1">
      <alignment horizontal="center" vertical="center"/>
    </xf>
    <xf numFmtId="43" fontId="35" fillId="0" borderId="1" xfId="1" applyFont="1" applyBorder="1" applyAlignment="1">
      <alignment horizontal="center" vertical="center"/>
    </xf>
    <xf numFmtId="43" fontId="35" fillId="0" borderId="1" xfId="1" applyFont="1" applyBorder="1" applyAlignment="1">
      <alignment vertical="center"/>
    </xf>
    <xf numFmtId="0" fontId="36" fillId="4" borderId="41" xfId="4" applyFont="1" applyFill="1" applyBorder="1" applyAlignment="1">
      <alignment horizontal="center" vertical="center"/>
    </xf>
    <xf numFmtId="0" fontId="35" fillId="0" borderId="32" xfId="4" applyFont="1" applyBorder="1" applyAlignment="1">
      <alignment horizontal="center" vertical="center"/>
    </xf>
    <xf numFmtId="0" fontId="35" fillId="0" borderId="55" xfId="4" applyFont="1" applyBorder="1" applyAlignment="1">
      <alignment horizontal="center" vertical="center"/>
    </xf>
    <xf numFmtId="9" fontId="17" fillId="0" borderId="1" xfId="3" applyFont="1" applyBorder="1" applyAlignment="1">
      <alignment horizontal="center" vertical="center"/>
    </xf>
    <xf numFmtId="178" fontId="0" fillId="0" borderId="0" xfId="0" applyNumberFormat="1"/>
    <xf numFmtId="176" fontId="25" fillId="0" borderId="1" xfId="5" applyNumberFormat="1" applyFont="1" applyBorder="1" applyAlignment="1">
      <alignment horizontal="center" vertical="center"/>
    </xf>
    <xf numFmtId="176" fontId="39" fillId="3" borderId="1" xfId="5" applyNumberFormat="1" applyFont="1" applyFill="1" applyBorder="1" applyAlignment="1">
      <alignment horizontal="center" vertical="center"/>
    </xf>
    <xf numFmtId="0" fontId="36" fillId="4" borderId="48" xfId="4" applyFont="1" applyFill="1" applyBorder="1" applyAlignment="1">
      <alignment horizontal="center" vertical="center"/>
    </xf>
    <xf numFmtId="0" fontId="36" fillId="4" borderId="28" xfId="4" applyFont="1" applyFill="1" applyBorder="1" applyAlignment="1">
      <alignment horizontal="center" vertical="center"/>
    </xf>
    <xf numFmtId="176" fontId="35" fillId="0" borderId="17" xfId="1" applyNumberFormat="1" applyFont="1" applyBorder="1" applyAlignment="1">
      <alignment horizontal="center" vertical="center"/>
    </xf>
    <xf numFmtId="176" fontId="35" fillId="0" borderId="1" xfId="1" applyNumberFormat="1" applyFont="1" applyBorder="1" applyAlignment="1">
      <alignment vertical="center"/>
    </xf>
    <xf numFmtId="176" fontId="35" fillId="0" borderId="57" xfId="4" applyNumberFormat="1" applyBorder="1" applyAlignment="1">
      <alignment vertical="center"/>
    </xf>
    <xf numFmtId="0" fontId="0" fillId="0" borderId="0" xfId="0" applyAlignment="1">
      <alignment horizontal="right"/>
    </xf>
    <xf numFmtId="0" fontId="0" fillId="6" borderId="1" xfId="0" applyFill="1" applyBorder="1" applyAlignment="1">
      <alignment horizontal="right"/>
    </xf>
    <xf numFmtId="0" fontId="0" fillId="16" borderId="0" xfId="0" applyFill="1" applyAlignment="1">
      <alignment horizontal="center"/>
    </xf>
    <xf numFmtId="0" fontId="0" fillId="16" borderId="0" xfId="0" applyFill="1"/>
    <xf numFmtId="2" fontId="25" fillId="3" borderId="0" xfId="0" applyNumberFormat="1" applyFont="1" applyFill="1"/>
    <xf numFmtId="0" fontId="23" fillId="0" borderId="0" xfId="0" applyFont="1"/>
    <xf numFmtId="0" fontId="0" fillId="10" borderId="1" xfId="0" applyFill="1" applyBorder="1" applyAlignment="1">
      <alignment horizontal="right"/>
    </xf>
    <xf numFmtId="0" fontId="0" fillId="23" borderId="0" xfId="0" applyFill="1" applyAlignment="1">
      <alignment horizontal="center"/>
    </xf>
    <xf numFmtId="0" fontId="0" fillId="23" borderId="0" xfId="0" applyFill="1"/>
    <xf numFmtId="0" fontId="25" fillId="0" borderId="0" xfId="0" applyFont="1" applyAlignment="1">
      <alignment horizontal="right"/>
    </xf>
    <xf numFmtId="2" fontId="25" fillId="0" borderId="0" xfId="0" applyNumberFormat="1" applyFont="1" applyFill="1"/>
    <xf numFmtId="43" fontId="39" fillId="0" borderId="0" xfId="1" applyFont="1" applyAlignment="1">
      <alignment horizontal="center" vertical="center"/>
    </xf>
    <xf numFmtId="9" fontId="16" fillId="0" borderId="1" xfId="3" applyFont="1" applyBorder="1" applyAlignment="1">
      <alignment horizontal="center" vertical="center"/>
    </xf>
    <xf numFmtId="0" fontId="35" fillId="0" borderId="57" xfId="4" applyFont="1" applyBorder="1" applyAlignment="1">
      <alignment horizontal="center" vertical="center"/>
    </xf>
    <xf numFmtId="0" fontId="35" fillId="0" borderId="57" xfId="4" applyFont="1" applyBorder="1" applyAlignment="1">
      <alignment vertical="center"/>
    </xf>
    <xf numFmtId="43" fontId="18" fillId="0" borderId="0" xfId="16" applyNumberFormat="1" applyAlignment="1">
      <alignment vertical="center"/>
    </xf>
    <xf numFmtId="179" fontId="18" fillId="0" borderId="0" xfId="16" applyNumberFormat="1" applyAlignment="1">
      <alignment vertical="center"/>
    </xf>
    <xf numFmtId="0" fontId="12" fillId="24" borderId="35" xfId="16" applyFont="1" applyFill="1" applyBorder="1" applyAlignment="1">
      <alignment horizontal="left" vertical="center" wrapText="1" indent="1"/>
    </xf>
    <xf numFmtId="43" fontId="15" fillId="24" borderId="1" xfId="1" applyFont="1" applyFill="1" applyBorder="1" applyAlignment="1">
      <alignment horizontal="center" vertical="center" wrapText="1"/>
    </xf>
    <xf numFmtId="0" fontId="14" fillId="24" borderId="1" xfId="16" applyFont="1" applyFill="1" applyBorder="1" applyAlignment="1">
      <alignment horizontal="left" vertical="center" wrapText="1"/>
    </xf>
    <xf numFmtId="43" fontId="13" fillId="24" borderId="1" xfId="1" applyFont="1" applyFill="1" applyBorder="1" applyAlignment="1">
      <alignment horizontal="center" vertical="center" wrapText="1"/>
    </xf>
    <xf numFmtId="0" fontId="14" fillId="24" borderId="35" xfId="16" applyFont="1" applyFill="1" applyBorder="1" applyAlignment="1">
      <alignment horizontal="left" vertical="center" wrapText="1"/>
    </xf>
    <xf numFmtId="0" fontId="43" fillId="24" borderId="1" xfId="16" applyNumberFormat="1" applyFont="1" applyFill="1" applyBorder="1" applyAlignment="1">
      <alignment horizontal="left" vertical="center" wrapText="1"/>
    </xf>
    <xf numFmtId="0" fontId="43" fillId="24" borderId="35" xfId="16" applyFont="1" applyFill="1" applyBorder="1" applyAlignment="1">
      <alignment horizontal="left" vertical="center" wrapText="1"/>
    </xf>
    <xf numFmtId="0" fontId="12" fillId="24" borderId="1" xfId="16" applyFont="1" applyFill="1" applyBorder="1" applyAlignment="1">
      <alignment horizontal="center" vertical="center" wrapText="1"/>
    </xf>
    <xf numFmtId="0" fontId="14" fillId="24" borderId="1" xfId="16" applyFont="1" applyFill="1" applyBorder="1" applyAlignment="1">
      <alignment horizontal="center" vertical="center" wrapText="1"/>
    </xf>
    <xf numFmtId="0" fontId="43" fillId="24" borderId="1" xfId="16" applyFont="1" applyFill="1" applyBorder="1" applyAlignment="1">
      <alignment horizontal="center" vertical="center" wrapText="1"/>
    </xf>
    <xf numFmtId="0" fontId="43" fillId="24" borderId="1" xfId="16" applyNumberFormat="1" applyFont="1" applyFill="1" applyBorder="1" applyAlignment="1">
      <alignment horizontal="center" vertical="center" wrapText="1"/>
    </xf>
    <xf numFmtId="0" fontId="11" fillId="24" borderId="1" xfId="16" applyFont="1" applyFill="1" applyBorder="1" applyAlignment="1">
      <alignment horizontal="left" vertical="center" wrapText="1"/>
    </xf>
    <xf numFmtId="43" fontId="13" fillId="24" borderId="35" xfId="1" applyFont="1" applyFill="1" applyBorder="1" applyAlignment="1">
      <alignment horizontal="center" vertical="center" wrapText="1"/>
    </xf>
    <xf numFmtId="0" fontId="10" fillId="24" borderId="1" xfId="16" applyFont="1" applyFill="1" applyBorder="1" applyAlignment="1">
      <alignment horizontal="center" vertical="center"/>
    </xf>
    <xf numFmtId="0" fontId="9" fillId="24" borderId="35" xfId="16" applyFont="1" applyFill="1" applyBorder="1" applyAlignment="1">
      <alignment horizontal="left" vertical="center" wrapText="1"/>
    </xf>
    <xf numFmtId="0" fontId="8" fillId="24" borderId="1" xfId="16" applyFont="1" applyFill="1" applyBorder="1" applyAlignment="1">
      <alignment horizontal="center" vertical="center" wrapText="1"/>
    </xf>
    <xf numFmtId="2" fontId="18" fillId="0" borderId="0" xfId="16" applyNumberFormat="1" applyAlignment="1">
      <alignment vertical="center"/>
    </xf>
    <xf numFmtId="0" fontId="7" fillId="24" borderId="35" xfId="16" applyFont="1" applyFill="1" applyBorder="1" applyAlignment="1">
      <alignment horizontal="left" vertical="center" wrapText="1"/>
    </xf>
    <xf numFmtId="0" fontId="6" fillId="24" borderId="35" xfId="16" applyFont="1" applyFill="1" applyBorder="1" applyAlignment="1">
      <alignment horizontal="left" vertical="center" wrapText="1"/>
    </xf>
    <xf numFmtId="43" fontId="15" fillId="24" borderId="35" xfId="1" applyFont="1" applyFill="1" applyBorder="1" applyAlignment="1">
      <alignment horizontal="center" vertical="center" wrapText="1"/>
    </xf>
    <xf numFmtId="0" fontId="60" fillId="25" borderId="35" xfId="16" applyFont="1" applyFill="1" applyBorder="1" applyAlignment="1">
      <alignment horizontal="center" vertical="center" wrapText="1"/>
    </xf>
    <xf numFmtId="0" fontId="60" fillId="25" borderId="1" xfId="16" applyFont="1" applyFill="1" applyBorder="1" applyAlignment="1">
      <alignment horizontal="center" vertical="center" wrapText="1"/>
    </xf>
    <xf numFmtId="0" fontId="5" fillId="24" borderId="1" xfId="16" applyFont="1" applyFill="1" applyBorder="1" applyAlignment="1">
      <alignment horizontal="center" vertical="center" wrapText="1"/>
    </xf>
    <xf numFmtId="0" fontId="5" fillId="24" borderId="35" xfId="16" applyFont="1" applyFill="1" applyBorder="1" applyAlignment="1">
      <alignment horizontal="left" vertical="center" wrapText="1"/>
    </xf>
    <xf numFmtId="0" fontId="43" fillId="24" borderId="35" xfId="16" applyFont="1" applyFill="1" applyBorder="1" applyAlignment="1">
      <alignment horizontal="left" vertical="center"/>
    </xf>
    <xf numFmtId="3" fontId="63" fillId="12" borderId="1" xfId="22" applyNumberFormat="1" applyFont="1" applyFill="1" applyBorder="1" applyAlignment="1">
      <alignment horizontal="center" wrapText="1"/>
    </xf>
    <xf numFmtId="0" fontId="63" fillId="0" borderId="1" xfId="22" applyFont="1" applyFill="1" applyBorder="1" applyAlignment="1">
      <alignment horizontal="left" wrapText="1"/>
    </xf>
    <xf numFmtId="3" fontId="63" fillId="0" borderId="1" xfId="22" applyNumberFormat="1" applyFont="1" applyFill="1" applyBorder="1" applyAlignment="1">
      <alignment horizontal="right" wrapText="1"/>
    </xf>
    <xf numFmtId="0" fontId="63" fillId="0" borderId="1" xfId="22" applyFont="1" applyFill="1" applyBorder="1" applyAlignment="1">
      <alignment horizontal="left" vertical="center" wrapText="1"/>
    </xf>
    <xf numFmtId="0" fontId="63" fillId="0" borderId="1" xfId="22" applyFont="1" applyFill="1" applyBorder="1" applyAlignment="1">
      <alignment horizontal="left"/>
    </xf>
    <xf numFmtId="0" fontId="64" fillId="25" borderId="35" xfId="16" applyFont="1" applyFill="1" applyBorder="1" applyAlignment="1">
      <alignment horizontal="center" vertical="center" wrapText="1"/>
    </xf>
    <xf numFmtId="0" fontId="64" fillId="25" borderId="1" xfId="16" applyFont="1" applyFill="1" applyBorder="1" applyAlignment="1">
      <alignment horizontal="center" vertical="center" wrapText="1"/>
    </xf>
    <xf numFmtId="3" fontId="63" fillId="0" borderId="1" xfId="22" applyNumberFormat="1" applyFont="1" applyFill="1" applyBorder="1" applyAlignment="1">
      <alignment horizontal="right"/>
    </xf>
    <xf numFmtId="0" fontId="63" fillId="0" borderId="1" xfId="21" applyFont="1" applyFill="1" applyBorder="1" applyAlignment="1"/>
    <xf numFmtId="0" fontId="63" fillId="0" borderId="1" xfId="21" applyFont="1" applyFill="1" applyBorder="1" applyAlignment="1">
      <alignment wrapText="1"/>
    </xf>
    <xf numFmtId="0" fontId="63" fillId="0" borderId="1" xfId="21" applyFont="1" applyFill="1" applyBorder="1" applyAlignment="1">
      <alignment vertical="center" wrapText="1"/>
    </xf>
    <xf numFmtId="3" fontId="63" fillId="0" borderId="1" xfId="22" applyNumberFormat="1" applyFont="1" applyFill="1" applyBorder="1" applyAlignment="1">
      <alignment horizontal="right" vertical="center" wrapText="1"/>
    </xf>
    <xf numFmtId="0" fontId="63" fillId="0" borderId="1" xfId="22" applyFont="1" applyFill="1" applyBorder="1" applyAlignment="1">
      <alignment wrapText="1"/>
    </xf>
    <xf numFmtId="0" fontId="60" fillId="12" borderId="35" xfId="16" applyFont="1" applyFill="1" applyBorder="1" applyAlignment="1">
      <alignment horizontal="center" vertical="center" wrapText="1"/>
    </xf>
    <xf numFmtId="0" fontId="60" fillId="12" borderId="1" xfId="16" applyFont="1" applyFill="1" applyBorder="1" applyAlignment="1">
      <alignment horizontal="center" vertical="center" wrapText="1"/>
    </xf>
    <xf numFmtId="0" fontId="3" fillId="3" borderId="35" xfId="16" applyFont="1" applyFill="1" applyBorder="1" applyAlignment="1">
      <alignment horizontal="left" vertical="center" wrapText="1" indent="1"/>
    </xf>
    <xf numFmtId="43" fontId="15" fillId="3" borderId="35" xfId="1" applyFont="1" applyFill="1" applyBorder="1" applyAlignment="1">
      <alignment horizontal="center" vertical="center" wrapText="1"/>
    </xf>
    <xf numFmtId="43" fontId="13" fillId="7" borderId="35" xfId="1" applyFont="1" applyFill="1" applyBorder="1" applyAlignment="1">
      <alignment horizontal="center" vertical="center" wrapText="1"/>
    </xf>
    <xf numFmtId="0" fontId="14" fillId="7" borderId="1" xfId="16" applyFont="1" applyFill="1" applyBorder="1" applyAlignment="1">
      <alignment horizontal="center" vertical="center" wrapText="1"/>
    </xf>
    <xf numFmtId="0" fontId="65" fillId="7" borderId="35" xfId="16" applyFont="1" applyFill="1" applyBorder="1" applyAlignment="1">
      <alignment horizontal="center" vertical="center" wrapText="1"/>
    </xf>
    <xf numFmtId="0" fontId="2" fillId="24" borderId="35" xfId="16" applyFont="1" applyFill="1" applyBorder="1" applyAlignment="1">
      <alignment horizontal="left" vertical="center" wrapText="1"/>
    </xf>
    <xf numFmtId="43" fontId="2" fillId="24" borderId="35" xfId="1" applyFont="1" applyFill="1" applyBorder="1" applyAlignment="1">
      <alignment horizontal="center" vertical="center" wrapText="1"/>
    </xf>
    <xf numFmtId="0" fontId="2" fillId="24" borderId="1" xfId="16" applyFont="1" applyFill="1" applyBorder="1" applyAlignment="1">
      <alignment horizontal="center" vertical="center"/>
    </xf>
    <xf numFmtId="0" fontId="2" fillId="24" borderId="1" xfId="16" applyFont="1" applyFill="1" applyBorder="1" applyAlignment="1">
      <alignment horizontal="center" vertical="center" wrapText="1"/>
    </xf>
    <xf numFmtId="0" fontId="54" fillId="0" borderId="25" xfId="0" applyFont="1" applyBorder="1" applyAlignment="1">
      <alignment horizontal="center" vertical="center"/>
    </xf>
    <xf numFmtId="0" fontId="54" fillId="0" borderId="4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5" fillId="0" borderId="13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56" fillId="0" borderId="14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0" fontId="55" fillId="0" borderId="15" xfId="0" applyFont="1" applyBorder="1" applyAlignment="1">
      <alignment horizontal="center" vertical="center" wrapText="1"/>
    </xf>
    <xf numFmtId="0" fontId="55" fillId="0" borderId="13" xfId="0" applyFont="1" applyBorder="1" applyAlignment="1">
      <alignment horizontal="center" vertical="center"/>
    </xf>
    <xf numFmtId="0" fontId="55" fillId="0" borderId="15" xfId="0" applyFont="1" applyBorder="1" applyAlignment="1">
      <alignment horizontal="center" vertical="center"/>
    </xf>
    <xf numFmtId="0" fontId="55" fillId="0" borderId="14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center" vertical="center" wrapText="1"/>
    </xf>
    <xf numFmtId="0" fontId="56" fillId="0" borderId="13" xfId="0" applyFont="1" applyBorder="1" applyAlignment="1">
      <alignment horizontal="center" vertical="center" wrapText="1"/>
    </xf>
    <xf numFmtId="0" fontId="55" fillId="0" borderId="44" xfId="0" applyFont="1" applyBorder="1" applyAlignment="1">
      <alignment horizontal="center" vertical="center" wrapText="1"/>
    </xf>
    <xf numFmtId="0" fontId="55" fillId="0" borderId="45" xfId="0" applyFont="1" applyBorder="1" applyAlignment="1">
      <alignment horizontal="center" vertical="center" wrapText="1"/>
    </xf>
    <xf numFmtId="0" fontId="55" fillId="0" borderId="46" xfId="0" applyFont="1" applyBorder="1" applyAlignment="1">
      <alignment horizontal="center" vertical="center" wrapText="1"/>
    </xf>
    <xf numFmtId="0" fontId="55" fillId="0" borderId="37" xfId="0" applyFont="1" applyBorder="1" applyAlignment="1">
      <alignment horizontal="center" vertical="center" wrapText="1"/>
    </xf>
    <xf numFmtId="0" fontId="55" fillId="0" borderId="47" xfId="0" applyFont="1" applyBorder="1" applyAlignment="1">
      <alignment horizontal="center" vertical="center" wrapText="1"/>
    </xf>
    <xf numFmtId="0" fontId="55" fillId="0" borderId="20" xfId="0" applyFont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21" xfId="0" applyFont="1" applyFill="1" applyBorder="1" applyAlignment="1">
      <alignment horizontal="center" vertical="center" wrapText="1"/>
    </xf>
    <xf numFmtId="0" fontId="33" fillId="2" borderId="23" xfId="0" applyFont="1" applyFill="1" applyBorder="1" applyAlignment="1">
      <alignment vertical="center"/>
    </xf>
    <xf numFmtId="0" fontId="33" fillId="2" borderId="24" xfId="0" applyFont="1" applyFill="1" applyBorder="1" applyAlignment="1">
      <alignment vertical="center"/>
    </xf>
    <xf numFmtId="0" fontId="27" fillId="2" borderId="25" xfId="0" applyFont="1" applyFill="1" applyBorder="1" applyAlignment="1">
      <alignment vertical="center"/>
    </xf>
    <xf numFmtId="0" fontId="27" fillId="2" borderId="19" xfId="0" applyFont="1" applyFill="1" applyBorder="1" applyAlignment="1">
      <alignment vertical="center"/>
    </xf>
    <xf numFmtId="0" fontId="27" fillId="2" borderId="13" xfId="0" applyFont="1" applyFill="1" applyBorder="1" applyAlignment="1">
      <alignment horizontal="center" vertical="center"/>
    </xf>
    <xf numFmtId="0" fontId="27" fillId="2" borderId="21" xfId="0" applyFont="1" applyFill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48" fillId="0" borderId="0" xfId="8" applyFont="1" applyFill="1" applyBorder="1" applyAlignment="1">
      <alignment horizontal="center" vertical="center" wrapText="1"/>
    </xf>
    <xf numFmtId="0" fontId="21" fillId="0" borderId="4" xfId="8" applyBorder="1" applyAlignment="1">
      <alignment horizontal="center" vertical="center"/>
    </xf>
    <xf numFmtId="0" fontId="21" fillId="0" borderId="2" xfId="8" applyBorder="1" applyAlignment="1">
      <alignment horizontal="center" vertical="center"/>
    </xf>
    <xf numFmtId="0" fontId="21" fillId="0" borderId="40" xfId="8" applyBorder="1" applyAlignment="1">
      <alignment horizontal="right" vertical="center"/>
    </xf>
    <xf numFmtId="0" fontId="21" fillId="0" borderId="26" xfId="8" applyBorder="1" applyAlignment="1">
      <alignment horizontal="right" vertical="center"/>
    </xf>
    <xf numFmtId="0" fontId="21" fillId="0" borderId="17" xfId="8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left"/>
    </xf>
    <xf numFmtId="0" fontId="0" fillId="23" borderId="0" xfId="0" applyFill="1" applyAlignment="1">
      <alignment horizontal="center"/>
    </xf>
    <xf numFmtId="0" fontId="0" fillId="22" borderId="0" xfId="0" applyFill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57" fillId="0" borderId="57" xfId="15" applyNumberFormat="1" applyFont="1" applyFill="1" applyBorder="1" applyAlignment="1">
      <alignment horizontal="center" vertical="center" shrinkToFit="1"/>
    </xf>
    <xf numFmtId="14" fontId="57" fillId="0" borderId="2" xfId="15" applyNumberFormat="1" applyFont="1" applyFill="1" applyBorder="1" applyAlignment="1">
      <alignment horizontal="center" vertical="center" shrinkToFit="1"/>
    </xf>
    <xf numFmtId="14" fontId="57" fillId="0" borderId="17" xfId="15" applyNumberFormat="1" applyFont="1" applyFill="1" applyBorder="1" applyAlignment="1">
      <alignment horizontal="center" vertical="center" shrinkToFit="1"/>
    </xf>
    <xf numFmtId="0" fontId="57" fillId="0" borderId="57" xfId="15" applyNumberFormat="1" applyFont="1" applyFill="1" applyBorder="1" applyAlignment="1">
      <alignment horizontal="center" vertical="center"/>
    </xf>
    <xf numFmtId="0" fontId="57" fillId="0" borderId="2" xfId="15" applyNumberFormat="1" applyFont="1" applyFill="1" applyBorder="1" applyAlignment="1">
      <alignment horizontal="center" vertical="center"/>
    </xf>
    <xf numFmtId="0" fontId="57" fillId="0" borderId="17" xfId="15" applyNumberFormat="1" applyFont="1" applyFill="1" applyBorder="1" applyAlignment="1">
      <alignment horizontal="center" vertical="center"/>
    </xf>
    <xf numFmtId="0" fontId="57" fillId="0" borderId="57" xfId="15" applyNumberFormat="1" applyFont="1" applyFill="1" applyBorder="1" applyAlignment="1" applyProtection="1">
      <alignment horizontal="center" vertical="center" shrinkToFit="1"/>
      <protection hidden="1"/>
    </xf>
    <xf numFmtId="0" fontId="57" fillId="0" borderId="2" xfId="15" applyNumberFormat="1" applyFont="1" applyFill="1" applyBorder="1" applyAlignment="1" applyProtection="1">
      <alignment horizontal="center" vertical="center" shrinkToFit="1"/>
      <protection hidden="1"/>
    </xf>
    <xf numFmtId="0" fontId="57" fillId="0" borderId="17" xfId="15" applyNumberFormat="1" applyFont="1" applyFill="1" applyBorder="1" applyAlignment="1" applyProtection="1">
      <alignment horizontal="center" vertical="center" shrinkToFit="1"/>
      <protection hidden="1"/>
    </xf>
    <xf numFmtId="0" fontId="57" fillId="0" borderId="57" xfId="15" applyNumberFormat="1" applyFont="1" applyFill="1" applyBorder="1" applyAlignment="1">
      <alignment horizontal="center" vertical="center" shrinkToFit="1"/>
    </xf>
    <xf numFmtId="0" fontId="57" fillId="0" borderId="2" xfId="15" applyNumberFormat="1" applyFont="1" applyFill="1" applyBorder="1" applyAlignment="1">
      <alignment horizontal="center" vertical="center" shrinkToFit="1"/>
    </xf>
    <xf numFmtId="0" fontId="57" fillId="0" borderId="17" xfId="15" applyNumberFormat="1" applyFont="1" applyFill="1" applyBorder="1" applyAlignment="1">
      <alignment horizontal="center" vertical="center" shrinkToFit="1"/>
    </xf>
    <xf numFmtId="0" fontId="58" fillId="19" borderId="1" xfId="0" applyNumberFormat="1" applyFont="1" applyFill="1" applyBorder="1" applyAlignment="1">
      <alignment horizontal="left" vertical="center" wrapText="1"/>
    </xf>
    <xf numFmtId="0" fontId="58" fillId="17" borderId="1" xfId="0" applyNumberFormat="1" applyFont="1" applyFill="1" applyBorder="1" applyAlignment="1">
      <alignment horizontal="left" vertical="top" wrapText="1"/>
    </xf>
    <xf numFmtId="0" fontId="0" fillId="20" borderId="56" xfId="0" applyFill="1" applyBorder="1" applyAlignment="1">
      <alignment horizontal="left" vertical="center"/>
    </xf>
    <xf numFmtId="0" fontId="0" fillId="20" borderId="55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20" borderId="1" xfId="0" applyFill="1" applyBorder="1" applyAlignment="1">
      <alignment horizontal="center"/>
    </xf>
    <xf numFmtId="2" fontId="0" fillId="0" borderId="46" xfId="0" applyNumberFormat="1" applyBorder="1" applyAlignment="1">
      <alignment horizontal="center" vertical="center"/>
    </xf>
    <xf numFmtId="0" fontId="0" fillId="16" borderId="1" xfId="0" applyFill="1" applyBorder="1" applyAlignment="1">
      <alignment horizontal="left"/>
    </xf>
    <xf numFmtId="2" fontId="0" fillId="16" borderId="53" xfId="0" applyNumberFormat="1" applyFill="1" applyBorder="1" applyAlignment="1">
      <alignment horizontal="center" vertical="center"/>
    </xf>
    <xf numFmtId="2" fontId="0" fillId="16" borderId="50" xfId="0" applyNumberFormat="1" applyFill="1" applyBorder="1" applyAlignment="1">
      <alignment horizontal="center" vertical="center"/>
    </xf>
    <xf numFmtId="2" fontId="0" fillId="16" borderId="51" xfId="0" applyNumberFormat="1" applyFill="1" applyBorder="1" applyAlignment="1">
      <alignment horizontal="center" vertical="center"/>
    </xf>
    <xf numFmtId="2" fontId="0" fillId="17" borderId="4" xfId="0" applyNumberFormat="1" applyFill="1" applyBorder="1" applyAlignment="1">
      <alignment horizontal="center" vertical="center"/>
    </xf>
    <xf numFmtId="2" fontId="0" fillId="17" borderId="2" xfId="0" applyNumberFormat="1" applyFill="1" applyBorder="1" applyAlignment="1">
      <alignment horizontal="center" vertical="center"/>
    </xf>
    <xf numFmtId="0" fontId="0" fillId="13" borderId="1" xfId="0" applyFill="1" applyBorder="1" applyAlignment="1">
      <alignment horizontal="center" textRotation="90"/>
    </xf>
    <xf numFmtId="0" fontId="0" fillId="13" borderId="4" xfId="0" applyFill="1" applyBorder="1" applyAlignment="1">
      <alignment horizontal="center" vertical="center"/>
    </xf>
    <xf numFmtId="0" fontId="0" fillId="13" borderId="17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0" fillId="16" borderId="4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0" fillId="16" borderId="17" xfId="0" applyFill="1" applyBorder="1" applyAlignment="1">
      <alignment horizontal="center" vertical="center"/>
    </xf>
    <xf numFmtId="2" fontId="0" fillId="16" borderId="4" xfId="0" applyNumberFormat="1" applyFill="1" applyBorder="1" applyAlignment="1">
      <alignment horizontal="center" vertical="center"/>
    </xf>
    <xf numFmtId="2" fontId="0" fillId="16" borderId="2" xfId="0" applyNumberFormat="1" applyFill="1" applyBorder="1" applyAlignment="1">
      <alignment horizontal="center" vertical="center"/>
    </xf>
    <xf numFmtId="2" fontId="0" fillId="16" borderId="17" xfId="0" applyNumberFormat="1" applyFill="1" applyBorder="1" applyAlignment="1">
      <alignment horizontal="center" vertical="center"/>
    </xf>
    <xf numFmtId="0" fontId="0" fillId="17" borderId="54" xfId="0" applyFill="1" applyBorder="1" applyAlignment="1">
      <alignment horizontal="center"/>
    </xf>
    <xf numFmtId="0" fontId="0" fillId="17" borderId="0" xfId="0" applyFill="1" applyBorder="1" applyAlignment="1">
      <alignment horizontal="center"/>
    </xf>
    <xf numFmtId="4" fontId="0" fillId="17" borderId="4" xfId="0" applyNumberForma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13" borderId="4" xfId="0" applyFill="1" applyBorder="1" applyAlignment="1">
      <alignment vertical="center"/>
    </xf>
    <xf numFmtId="0" fontId="0" fillId="13" borderId="17" xfId="0" applyFill="1" applyBorder="1" applyAlignment="1">
      <alignment vertical="center"/>
    </xf>
    <xf numFmtId="0" fontId="0" fillId="15" borderId="35" xfId="0" applyFill="1" applyBorder="1" applyAlignment="1">
      <alignment horizontal="left"/>
    </xf>
    <xf numFmtId="0" fontId="0" fillId="15" borderId="52" xfId="0" applyFill="1" applyBorder="1" applyAlignment="1">
      <alignment horizontal="left"/>
    </xf>
    <xf numFmtId="0" fontId="0" fillId="15" borderId="33" xfId="0" applyFill="1" applyBorder="1" applyAlignment="1">
      <alignment horizontal="left"/>
    </xf>
    <xf numFmtId="0" fontId="0" fillId="5" borderId="4" xfId="0" applyFill="1" applyBorder="1" applyAlignment="1">
      <alignment horizontal="center" textRotation="90"/>
    </xf>
    <xf numFmtId="0" fontId="0" fillId="5" borderId="2" xfId="0" applyFill="1" applyBorder="1" applyAlignment="1">
      <alignment horizontal="center" textRotation="90"/>
    </xf>
    <xf numFmtId="0" fontId="0" fillId="5" borderId="17" xfId="0" applyFill="1" applyBorder="1" applyAlignment="1">
      <alignment horizontal="center" textRotation="90"/>
    </xf>
    <xf numFmtId="2" fontId="0" fillId="5" borderId="4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2" fontId="0" fillId="5" borderId="17" xfId="0" applyNumberFormat="1" applyFill="1" applyBorder="1" applyAlignment="1">
      <alignment horizontal="center" vertical="center"/>
    </xf>
    <xf numFmtId="0" fontId="0" fillId="15" borderId="1" xfId="0" applyFill="1" applyBorder="1" applyAlignment="1">
      <alignment horizontal="center" textRotation="90"/>
    </xf>
    <xf numFmtId="0" fontId="0" fillId="15" borderId="4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2" fontId="0" fillId="15" borderId="4" xfId="0" applyNumberFormat="1" applyFill="1" applyBorder="1" applyAlignment="1">
      <alignment horizontal="center" vertical="center"/>
    </xf>
    <xf numFmtId="2" fontId="0" fillId="15" borderId="2" xfId="0" applyNumberFormat="1" applyFill="1" applyBorder="1" applyAlignment="1">
      <alignment horizontal="center" vertical="center"/>
    </xf>
    <xf numFmtId="2" fontId="0" fillId="15" borderId="17" xfId="0" applyNumberFormat="1" applyFill="1" applyBorder="1" applyAlignment="1">
      <alignment horizontal="center" vertical="center"/>
    </xf>
    <xf numFmtId="0" fontId="0" fillId="5" borderId="35" xfId="0" applyFill="1" applyBorder="1" applyAlignment="1">
      <alignment horizontal="left"/>
    </xf>
    <xf numFmtId="0" fontId="0" fillId="5" borderId="56" xfId="0" applyFill="1" applyBorder="1" applyAlignment="1">
      <alignment horizontal="left"/>
    </xf>
    <xf numFmtId="0" fontId="0" fillId="5" borderId="55" xfId="0" applyFill="1" applyBorder="1" applyAlignment="1">
      <alignment horizontal="left"/>
    </xf>
    <xf numFmtId="0" fontId="0" fillId="11" borderId="4" xfId="0" applyFill="1" applyBorder="1" applyAlignment="1">
      <alignment horizontal="center" vertical="center" textRotation="90"/>
    </xf>
    <xf numFmtId="0" fontId="0" fillId="11" borderId="2" xfId="0" applyFill="1" applyBorder="1" applyAlignment="1">
      <alignment horizontal="center" vertical="center" textRotation="90"/>
    </xf>
    <xf numFmtId="0" fontId="0" fillId="11" borderId="17" xfId="0" applyFill="1" applyBorder="1" applyAlignment="1">
      <alignment horizontal="center" vertical="center" textRotation="90"/>
    </xf>
    <xf numFmtId="2" fontId="0" fillId="11" borderId="4" xfId="0" applyNumberFormat="1" applyFill="1" applyBorder="1" applyAlignment="1">
      <alignment horizontal="center" vertical="center"/>
    </xf>
    <xf numFmtId="2" fontId="0" fillId="11" borderId="2" xfId="0" applyNumberFormat="1" applyFill="1" applyBorder="1" applyAlignment="1">
      <alignment horizontal="center" vertical="center"/>
    </xf>
    <xf numFmtId="2" fontId="0" fillId="11" borderId="17" xfId="0" applyNumberFormat="1" applyFill="1" applyBorder="1" applyAlignment="1">
      <alignment horizontal="center" vertical="center"/>
    </xf>
    <xf numFmtId="177" fontId="0" fillId="11" borderId="4" xfId="0" applyNumberForma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25" fillId="8" borderId="35" xfId="0" applyFont="1" applyFill="1" applyBorder="1" applyAlignment="1">
      <alignment horizontal="center" vertical="center" wrapText="1"/>
    </xf>
    <xf numFmtId="0" fontId="25" fillId="8" borderId="52" xfId="0" applyFont="1" applyFill="1" applyBorder="1" applyAlignment="1">
      <alignment horizontal="center" vertical="center" wrapText="1"/>
    </xf>
    <xf numFmtId="0" fontId="25" fillId="8" borderId="33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 textRotation="90"/>
    </xf>
    <xf numFmtId="4" fontId="0" fillId="14" borderId="4" xfId="0" applyNumberFormat="1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0" fillId="14" borderId="17" xfId="0" applyFill="1" applyBorder="1" applyAlignment="1">
      <alignment horizontal="center" vertical="center"/>
    </xf>
    <xf numFmtId="2" fontId="0" fillId="14" borderId="4" xfId="0" applyNumberFormat="1" applyFill="1" applyBorder="1" applyAlignment="1">
      <alignment horizontal="center" vertical="center"/>
    </xf>
    <xf numFmtId="2" fontId="0" fillId="14" borderId="2" xfId="0" applyNumberFormat="1" applyFill="1" applyBorder="1" applyAlignment="1">
      <alignment horizontal="center" vertical="center"/>
    </xf>
    <xf numFmtId="2" fontId="0" fillId="14" borderId="17" xfId="0" applyNumberFormat="1" applyFill="1" applyBorder="1" applyAlignment="1">
      <alignment horizontal="center" vertical="center"/>
    </xf>
    <xf numFmtId="0" fontId="0" fillId="11" borderId="35" xfId="0" applyFill="1" applyBorder="1" applyAlignment="1">
      <alignment horizontal="left"/>
    </xf>
    <xf numFmtId="0" fontId="0" fillId="11" borderId="56" xfId="0" applyFill="1" applyBorder="1" applyAlignment="1">
      <alignment horizontal="left"/>
    </xf>
    <xf numFmtId="0" fontId="0" fillId="11" borderId="55" xfId="0" applyFill="1" applyBorder="1" applyAlignment="1">
      <alignment horizontal="left"/>
    </xf>
    <xf numFmtId="0" fontId="0" fillId="20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 textRotation="90"/>
    </xf>
    <xf numFmtId="0" fontId="0" fillId="21" borderId="1" xfId="0" applyFill="1" applyBorder="1" applyAlignment="1">
      <alignment horizontal="left"/>
    </xf>
    <xf numFmtId="0" fontId="0" fillId="19" borderId="58" xfId="0" applyFill="1" applyBorder="1" applyAlignment="1">
      <alignment horizontal="center" vertical="center" textRotation="90"/>
    </xf>
    <xf numFmtId="0" fontId="0" fillId="19" borderId="57" xfId="0" applyFill="1" applyBorder="1" applyAlignment="1">
      <alignment horizontal="center" vertical="center"/>
    </xf>
    <xf numFmtId="0" fontId="0" fillId="19" borderId="2" xfId="0" applyFill="1" applyBorder="1" applyAlignment="1">
      <alignment horizontal="center" vertical="center"/>
    </xf>
    <xf numFmtId="0" fontId="0" fillId="19" borderId="17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1" fillId="24" borderId="35" xfId="16" applyFont="1" applyFill="1" applyBorder="1" applyAlignment="1">
      <alignment horizontal="left" vertical="center" wrapText="1" indent="1"/>
    </xf>
    <xf numFmtId="43" fontId="1" fillId="24" borderId="1" xfId="1" applyFont="1" applyFill="1" applyBorder="1" applyAlignment="1">
      <alignment horizontal="center" vertical="center" wrapText="1"/>
    </xf>
    <xf numFmtId="0" fontId="66" fillId="24" borderId="35" xfId="16" applyFont="1" applyFill="1" applyBorder="1" applyAlignment="1">
      <alignment horizontal="left" vertical="center" wrapText="1"/>
    </xf>
  </cellXfs>
  <cellStyles count="24">
    <cellStyle name="Денежный" xfId="2" builtinId="4"/>
    <cellStyle name="Денежный 2" xfId="6"/>
    <cellStyle name="Денежный 3" xfId="9"/>
    <cellStyle name="Денежный 3 2" xfId="14"/>
    <cellStyle name="Денежный 4" xfId="11"/>
    <cellStyle name="Обычный" xfId="0" builtinId="0"/>
    <cellStyle name="Обычный 2" xfId="8"/>
    <cellStyle name="Обычный 2 2" xfId="13"/>
    <cellStyle name="Обычный 3" xfId="4"/>
    <cellStyle name="Обычный 4" xfId="15"/>
    <cellStyle name="Обычный 4 2" xfId="22"/>
    <cellStyle name="Обычный 5" xfId="16"/>
    <cellStyle name="Обычный 5 2" xfId="19"/>
    <cellStyle name="Обычный 6" xfId="21"/>
    <cellStyle name="Процентный" xfId="3" builtinId="5"/>
    <cellStyle name="Процентный 2" xfId="5"/>
    <cellStyle name="Процентный 2 2" xfId="23"/>
    <cellStyle name="Процентный 3" xfId="18"/>
    <cellStyle name="Финансовый" xfId="1" builtinId="3"/>
    <cellStyle name="Финансовый 2" xfId="7"/>
    <cellStyle name="Финансовый 2 2" xfId="12"/>
    <cellStyle name="Финансовый 3" xfId="10"/>
    <cellStyle name="Финансовый 4" xfId="17"/>
    <cellStyle name="Финансовый 4 2" xfId="20"/>
  </cellStyles>
  <dxfs count="0"/>
  <tableStyles count="0" defaultTableStyle="TableStyleMedium2" defaultPivotStyle="PivotStyleLight16"/>
  <colors>
    <mruColors>
      <color rgb="FF00B050"/>
      <color rgb="FF78B832"/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744682</xdr:colOff>
      <xdr:row>103</xdr:row>
      <xdr:rowOff>69271</xdr:rowOff>
    </xdr:from>
    <xdr:to>
      <xdr:col>6</xdr:col>
      <xdr:colOff>306337</xdr:colOff>
      <xdr:row>127</xdr:row>
      <xdr:rowOff>19370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4257" y="14804446"/>
          <a:ext cx="8486580" cy="4522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280147</xdr:colOff>
      <xdr:row>86</xdr:row>
      <xdr:rowOff>89647</xdr:rowOff>
    </xdr:from>
    <xdr:to>
      <xdr:col>9</xdr:col>
      <xdr:colOff>396513</xdr:colOff>
      <xdr:row>97</xdr:row>
      <xdr:rowOff>145414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1597" y="11776822"/>
          <a:ext cx="5878991" cy="2132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C4:G48"/>
  <sheetViews>
    <sheetView topLeftCell="A7" workbookViewId="0">
      <selection activeCell="E53" sqref="E53"/>
    </sheetView>
  </sheetViews>
  <sheetFormatPr defaultRowHeight="15" x14ac:dyDescent="0.25"/>
  <cols>
    <col min="3" max="3" width="12.85546875" style="361" customWidth="1"/>
    <col min="4" max="4" width="31.42578125" style="361" customWidth="1"/>
    <col min="5" max="5" width="55.42578125" bestFit="1" customWidth="1"/>
    <col min="6" max="6" width="12.42578125" bestFit="1" customWidth="1"/>
    <col min="7" max="7" width="29.5703125" bestFit="1" customWidth="1"/>
  </cols>
  <sheetData>
    <row r="4" spans="3:7" ht="15.75" thickBot="1" x14ac:dyDescent="0.3"/>
    <row r="5" spans="3:7" ht="15.75" thickBot="1" x14ac:dyDescent="0.3">
      <c r="C5" s="366" t="s">
        <v>249</v>
      </c>
      <c r="D5" s="367" t="s">
        <v>250</v>
      </c>
      <c r="E5" s="367" t="s">
        <v>242</v>
      </c>
      <c r="F5" s="366" t="s">
        <v>241</v>
      </c>
      <c r="G5" s="368" t="s">
        <v>280</v>
      </c>
    </row>
    <row r="6" spans="3:7" ht="15.75" thickBot="1" x14ac:dyDescent="0.3">
      <c r="C6" s="529" t="s">
        <v>269</v>
      </c>
      <c r="D6" s="530"/>
      <c r="E6" s="530"/>
      <c r="F6" s="530"/>
      <c r="G6" s="531"/>
    </row>
    <row r="7" spans="3:7" ht="15.75" thickBot="1" x14ac:dyDescent="0.3">
      <c r="C7" s="532" t="s">
        <v>251</v>
      </c>
      <c r="D7" s="537" t="s">
        <v>297</v>
      </c>
      <c r="E7" s="364" t="s">
        <v>252</v>
      </c>
      <c r="F7" s="365" t="e">
        <f>#REF!</f>
        <v>#REF!</v>
      </c>
      <c r="G7" s="534" t="s">
        <v>309</v>
      </c>
    </row>
    <row r="8" spans="3:7" ht="15.75" thickBot="1" x14ac:dyDescent="0.3">
      <c r="C8" s="533"/>
      <c r="D8" s="538"/>
      <c r="E8" s="362" t="s">
        <v>253</v>
      </c>
      <c r="F8" s="365" t="e">
        <f>#REF!</f>
        <v>#REF!</v>
      </c>
      <c r="G8" s="534"/>
    </row>
    <row r="9" spans="3:7" ht="15.75" thickBot="1" x14ac:dyDescent="0.3">
      <c r="C9" s="533"/>
      <c r="D9" s="537" t="s">
        <v>298</v>
      </c>
      <c r="E9" s="362" t="s">
        <v>254</v>
      </c>
      <c r="F9" s="363" t="e">
        <f>#REF!</f>
        <v>#REF!</v>
      </c>
      <c r="G9" s="534"/>
    </row>
    <row r="10" spans="3:7" ht="15.75" thickBot="1" x14ac:dyDescent="0.3">
      <c r="C10" s="533"/>
      <c r="D10" s="538"/>
      <c r="E10" s="362" t="s">
        <v>253</v>
      </c>
      <c r="F10" s="363" t="e">
        <f>#REF!</f>
        <v>#REF!</v>
      </c>
      <c r="G10" s="534"/>
    </row>
    <row r="11" spans="3:7" ht="15.75" thickBot="1" x14ac:dyDescent="0.3">
      <c r="C11" s="533"/>
      <c r="D11" s="537" t="s">
        <v>299</v>
      </c>
      <c r="E11" s="362" t="s">
        <v>255</v>
      </c>
      <c r="F11" s="363" t="e">
        <f>#REF!</f>
        <v>#REF!</v>
      </c>
      <c r="G11" s="534"/>
    </row>
    <row r="12" spans="3:7" ht="15.75" thickBot="1" x14ac:dyDescent="0.3">
      <c r="C12" s="533"/>
      <c r="D12" s="538"/>
      <c r="E12" s="362" t="s">
        <v>256</v>
      </c>
      <c r="F12" s="363" t="e">
        <f>#REF!</f>
        <v>#REF!</v>
      </c>
      <c r="G12" s="534"/>
    </row>
    <row r="13" spans="3:7" ht="15.75" thickBot="1" x14ac:dyDescent="0.3">
      <c r="C13" s="533"/>
      <c r="D13" s="537" t="s">
        <v>300</v>
      </c>
      <c r="E13" s="362" t="s">
        <v>257</v>
      </c>
      <c r="F13" s="363" t="e">
        <f>#REF!</f>
        <v>#REF!</v>
      </c>
      <c r="G13" s="534"/>
    </row>
    <row r="14" spans="3:7" ht="15.75" thickBot="1" x14ac:dyDescent="0.3">
      <c r="C14" s="533"/>
      <c r="D14" s="538"/>
      <c r="E14" s="362" t="s">
        <v>258</v>
      </c>
      <c r="F14" s="363" t="e">
        <f>#REF!</f>
        <v>#REF!</v>
      </c>
      <c r="G14" s="534"/>
    </row>
    <row r="15" spans="3:7" ht="15.75" thickBot="1" x14ac:dyDescent="0.3">
      <c r="C15" s="533"/>
      <c r="D15" s="537" t="s">
        <v>301</v>
      </c>
      <c r="E15" s="362" t="s">
        <v>259</v>
      </c>
      <c r="F15" s="363" t="e">
        <f>#REF!</f>
        <v>#REF!</v>
      </c>
      <c r="G15" s="534"/>
    </row>
    <row r="16" spans="3:7" ht="15.75" thickBot="1" x14ac:dyDescent="0.3">
      <c r="C16" s="533"/>
      <c r="D16" s="538"/>
      <c r="E16" s="362" t="s">
        <v>260</v>
      </c>
      <c r="F16" s="363" t="e">
        <f>#REF!</f>
        <v>#REF!</v>
      </c>
      <c r="G16" s="534"/>
    </row>
    <row r="17" spans="3:7" ht="15.75" thickBot="1" x14ac:dyDescent="0.3">
      <c r="C17" s="533"/>
      <c r="D17" s="371" t="s">
        <v>305</v>
      </c>
      <c r="E17" s="362" t="s">
        <v>261</v>
      </c>
      <c r="F17" s="363">
        <v>2</v>
      </c>
      <c r="G17" s="534"/>
    </row>
    <row r="18" spans="3:7" ht="15.75" thickBot="1" x14ac:dyDescent="0.3">
      <c r="C18" s="533"/>
      <c r="D18" s="371" t="s">
        <v>306</v>
      </c>
      <c r="E18" s="362" t="s">
        <v>262</v>
      </c>
      <c r="F18" s="363">
        <v>2</v>
      </c>
      <c r="G18" s="534"/>
    </row>
    <row r="19" spans="3:7" ht="15.75" thickBot="1" x14ac:dyDescent="0.3">
      <c r="C19" s="533"/>
      <c r="D19" s="371" t="s">
        <v>308</v>
      </c>
      <c r="E19" s="362" t="s">
        <v>263</v>
      </c>
      <c r="F19" s="363">
        <v>2</v>
      </c>
      <c r="G19" s="534"/>
    </row>
    <row r="20" spans="3:7" ht="15.75" thickBot="1" x14ac:dyDescent="0.3">
      <c r="C20" s="533"/>
      <c r="D20" s="537" t="s">
        <v>264</v>
      </c>
      <c r="E20" s="362" t="s">
        <v>265</v>
      </c>
      <c r="F20" s="363">
        <v>6</v>
      </c>
      <c r="G20" s="534"/>
    </row>
    <row r="21" spans="3:7" ht="15.75" thickBot="1" x14ac:dyDescent="0.3">
      <c r="C21" s="533"/>
      <c r="D21" s="539"/>
      <c r="E21" s="362" t="s">
        <v>266</v>
      </c>
      <c r="F21" s="363">
        <v>2</v>
      </c>
      <c r="G21" s="534"/>
    </row>
    <row r="22" spans="3:7" ht="15.75" thickBot="1" x14ac:dyDescent="0.3">
      <c r="C22" s="533"/>
      <c r="D22" s="539"/>
      <c r="E22" s="362" t="s">
        <v>267</v>
      </c>
      <c r="F22" s="363">
        <v>6</v>
      </c>
      <c r="G22" s="534"/>
    </row>
    <row r="23" spans="3:7" ht="15.75" thickBot="1" x14ac:dyDescent="0.3">
      <c r="C23" s="536"/>
      <c r="D23" s="538"/>
      <c r="E23" s="362" t="s">
        <v>268</v>
      </c>
      <c r="F23" s="363">
        <v>6</v>
      </c>
      <c r="G23" s="535"/>
    </row>
    <row r="24" spans="3:7" ht="15.75" thickBot="1" x14ac:dyDescent="0.3">
      <c r="C24" s="529" t="s">
        <v>270</v>
      </c>
      <c r="D24" s="530"/>
      <c r="E24" s="530"/>
      <c r="F24" s="530"/>
      <c r="G24" s="531"/>
    </row>
    <row r="25" spans="3:7" ht="15" customHeight="1" thickBot="1" x14ac:dyDescent="0.3">
      <c r="C25" s="532" t="s">
        <v>251</v>
      </c>
      <c r="D25" s="369" t="s">
        <v>302</v>
      </c>
      <c r="E25" s="362" t="s">
        <v>271</v>
      </c>
      <c r="F25" s="369">
        <v>3</v>
      </c>
      <c r="G25" s="542" t="s">
        <v>295</v>
      </c>
    </row>
    <row r="26" spans="3:7" ht="15.75" thickBot="1" x14ac:dyDescent="0.3">
      <c r="C26" s="533"/>
      <c r="D26" s="369" t="s">
        <v>303</v>
      </c>
      <c r="E26" s="362" t="s">
        <v>272</v>
      </c>
      <c r="F26" s="369">
        <v>3</v>
      </c>
      <c r="G26" s="534"/>
    </row>
    <row r="27" spans="3:7" ht="15.75" thickBot="1" x14ac:dyDescent="0.3">
      <c r="C27" s="533"/>
      <c r="D27" s="369" t="s">
        <v>304</v>
      </c>
      <c r="E27" s="362" t="s">
        <v>273</v>
      </c>
      <c r="F27" s="369">
        <v>3</v>
      </c>
      <c r="G27" s="534"/>
    </row>
    <row r="28" spans="3:7" ht="15.75" customHeight="1" thickBot="1" x14ac:dyDescent="0.3">
      <c r="C28" s="532" t="s">
        <v>251</v>
      </c>
      <c r="D28" s="369" t="s">
        <v>103</v>
      </c>
      <c r="E28" s="375" t="s">
        <v>274</v>
      </c>
      <c r="F28" s="369">
        <v>2</v>
      </c>
      <c r="G28" s="534"/>
    </row>
    <row r="29" spans="3:7" ht="22.5" customHeight="1" thickBot="1" x14ac:dyDescent="0.3">
      <c r="C29" s="533"/>
      <c r="D29" s="369" t="s">
        <v>104</v>
      </c>
      <c r="E29" s="375" t="s">
        <v>275</v>
      </c>
      <c r="F29" s="369">
        <v>2</v>
      </c>
      <c r="G29" s="535"/>
    </row>
    <row r="30" spans="3:7" ht="15.75" thickBot="1" x14ac:dyDescent="0.3">
      <c r="C30" s="529" t="s">
        <v>276</v>
      </c>
      <c r="D30" s="530"/>
      <c r="E30" s="530"/>
      <c r="F30" s="530"/>
      <c r="G30" s="531"/>
    </row>
    <row r="31" spans="3:7" ht="15" customHeight="1" thickBot="1" x14ac:dyDescent="0.3">
      <c r="C31" s="532" t="s">
        <v>251</v>
      </c>
      <c r="D31" s="371" t="s">
        <v>297</v>
      </c>
      <c r="E31" s="364" t="s">
        <v>111</v>
      </c>
      <c r="F31" s="370">
        <v>20</v>
      </c>
      <c r="G31" s="542" t="s">
        <v>310</v>
      </c>
    </row>
    <row r="32" spans="3:7" ht="15.75" thickBot="1" x14ac:dyDescent="0.3">
      <c r="C32" s="533"/>
      <c r="D32" s="371" t="s">
        <v>298</v>
      </c>
      <c r="E32" s="362" t="s">
        <v>112</v>
      </c>
      <c r="F32" s="369">
        <v>15</v>
      </c>
      <c r="G32" s="534"/>
    </row>
    <row r="33" spans="3:7" ht="15.75" thickBot="1" x14ac:dyDescent="0.3">
      <c r="C33" s="533"/>
      <c r="D33" s="371" t="s">
        <v>299</v>
      </c>
      <c r="E33" s="362" t="s">
        <v>112</v>
      </c>
      <c r="F33" s="369">
        <v>20</v>
      </c>
      <c r="G33" s="534"/>
    </row>
    <row r="34" spans="3:7" ht="15.75" thickBot="1" x14ac:dyDescent="0.3">
      <c r="C34" s="533"/>
      <c r="D34" s="371" t="s">
        <v>300</v>
      </c>
      <c r="E34" s="362" t="s">
        <v>79</v>
      </c>
      <c r="F34" s="369">
        <v>20</v>
      </c>
      <c r="G34" s="534"/>
    </row>
    <row r="35" spans="3:7" ht="15.75" thickBot="1" x14ac:dyDescent="0.3">
      <c r="C35" s="536"/>
      <c r="D35" s="371" t="s">
        <v>301</v>
      </c>
      <c r="E35" s="362" t="s">
        <v>112</v>
      </c>
      <c r="F35" s="369">
        <v>20</v>
      </c>
      <c r="G35" s="535"/>
    </row>
    <row r="36" spans="3:7" ht="15.75" thickBot="1" x14ac:dyDescent="0.3">
      <c r="C36" s="529" t="s">
        <v>277</v>
      </c>
      <c r="D36" s="530"/>
      <c r="E36" s="530"/>
      <c r="F36" s="530"/>
      <c r="G36" s="531"/>
    </row>
    <row r="37" spans="3:7" ht="15" customHeight="1" thickBot="1" x14ac:dyDescent="0.3">
      <c r="C37" s="532" t="s">
        <v>251</v>
      </c>
      <c r="D37" s="371" t="s">
        <v>306</v>
      </c>
      <c r="E37" s="364" t="s">
        <v>278</v>
      </c>
      <c r="F37" s="370">
        <v>4</v>
      </c>
      <c r="G37" s="542" t="s">
        <v>311</v>
      </c>
    </row>
    <row r="38" spans="3:7" ht="33.75" customHeight="1" thickBot="1" x14ac:dyDescent="0.3">
      <c r="C38" s="536"/>
      <c r="D38" s="371" t="s">
        <v>308</v>
      </c>
      <c r="E38" s="362" t="s">
        <v>279</v>
      </c>
      <c r="F38" s="369">
        <v>2</v>
      </c>
      <c r="G38" s="535"/>
    </row>
    <row r="39" spans="3:7" ht="15.75" thickBot="1" x14ac:dyDescent="0.3">
      <c r="C39" s="529" t="s">
        <v>281</v>
      </c>
      <c r="D39" s="530"/>
      <c r="E39" s="530"/>
      <c r="F39" s="530"/>
      <c r="G39" s="531"/>
    </row>
    <row r="40" spans="3:7" ht="28.5" customHeight="1" thickBot="1" x14ac:dyDescent="0.3">
      <c r="C40" s="543" t="s">
        <v>251</v>
      </c>
      <c r="D40" s="544"/>
      <c r="E40" s="372" t="s">
        <v>215</v>
      </c>
      <c r="F40" s="365" t="e">
        <f>#REF!</f>
        <v>#REF!</v>
      </c>
      <c r="G40" s="373" t="s">
        <v>312</v>
      </c>
    </row>
    <row r="41" spans="3:7" ht="15" customHeight="1" thickBot="1" x14ac:dyDescent="0.3">
      <c r="C41" s="545"/>
      <c r="D41" s="546"/>
      <c r="E41" s="364" t="s">
        <v>290</v>
      </c>
      <c r="F41" s="369" t="s">
        <v>292</v>
      </c>
      <c r="G41" s="373" t="s">
        <v>307</v>
      </c>
    </row>
    <row r="42" spans="3:7" ht="15" customHeight="1" thickBot="1" x14ac:dyDescent="0.3">
      <c r="C42" s="545"/>
      <c r="D42" s="546"/>
      <c r="E42" s="364" t="s">
        <v>291</v>
      </c>
      <c r="F42" s="369">
        <v>500</v>
      </c>
      <c r="G42" s="373" t="s">
        <v>307</v>
      </c>
    </row>
    <row r="43" spans="3:7" ht="15.75" thickBot="1" x14ac:dyDescent="0.3">
      <c r="C43" s="545"/>
      <c r="D43" s="546"/>
      <c r="E43" s="364" t="s">
        <v>81</v>
      </c>
      <c r="F43" s="369">
        <v>22</v>
      </c>
      <c r="G43" s="373" t="s">
        <v>313</v>
      </c>
    </row>
    <row r="44" spans="3:7" ht="24.75" thickBot="1" x14ac:dyDescent="0.3">
      <c r="C44" s="545"/>
      <c r="D44" s="546"/>
      <c r="E44" s="364" t="s">
        <v>282</v>
      </c>
      <c r="F44" s="369" t="e">
        <f>#REF!</f>
        <v>#REF!</v>
      </c>
      <c r="G44" s="373" t="s">
        <v>283</v>
      </c>
    </row>
    <row r="45" spans="3:7" ht="48.75" thickBot="1" x14ac:dyDescent="0.3">
      <c r="C45" s="547"/>
      <c r="D45" s="548"/>
      <c r="E45" s="374" t="s">
        <v>284</v>
      </c>
      <c r="F45" s="369" t="e">
        <f>#REF!</f>
        <v>#REF!</v>
      </c>
      <c r="G45" s="373" t="s">
        <v>285</v>
      </c>
    </row>
    <row r="46" spans="3:7" ht="15.75" hidden="1" thickBot="1" x14ac:dyDescent="0.3">
      <c r="C46" s="529" t="s">
        <v>286</v>
      </c>
      <c r="D46" s="530"/>
      <c r="E46" s="530"/>
      <c r="F46" s="530"/>
      <c r="G46" s="531"/>
    </row>
    <row r="47" spans="3:7" ht="24.75" hidden="1" thickBot="1" x14ac:dyDescent="0.3">
      <c r="C47" s="540" t="s">
        <v>293</v>
      </c>
      <c r="D47" s="541"/>
      <c r="E47" s="374" t="s">
        <v>289</v>
      </c>
      <c r="F47" s="365" t="s">
        <v>287</v>
      </c>
      <c r="G47" s="373" t="s">
        <v>288</v>
      </c>
    </row>
    <row r="48" spans="3:7" ht="24.75" hidden="1" thickBot="1" x14ac:dyDescent="0.3">
      <c r="C48" s="540" t="s">
        <v>293</v>
      </c>
      <c r="D48" s="541"/>
      <c r="E48" s="374" t="s">
        <v>296</v>
      </c>
      <c r="F48" s="365" t="s">
        <v>294</v>
      </c>
      <c r="G48" s="373" t="s">
        <v>288</v>
      </c>
    </row>
  </sheetData>
  <mergeCells count="24">
    <mergeCell ref="C48:D48"/>
    <mergeCell ref="C28:C29"/>
    <mergeCell ref="G25:G29"/>
    <mergeCell ref="C40:D45"/>
    <mergeCell ref="C46:G46"/>
    <mergeCell ref="C47:D47"/>
    <mergeCell ref="C39:G39"/>
    <mergeCell ref="C36:G36"/>
    <mergeCell ref="G31:G35"/>
    <mergeCell ref="C37:C38"/>
    <mergeCell ref="G37:G38"/>
    <mergeCell ref="C30:G30"/>
    <mergeCell ref="C31:C35"/>
    <mergeCell ref="C6:G6"/>
    <mergeCell ref="C24:G24"/>
    <mergeCell ref="C25:C27"/>
    <mergeCell ref="G7:G23"/>
    <mergeCell ref="C7:C23"/>
    <mergeCell ref="D7:D8"/>
    <mergeCell ref="D9:D10"/>
    <mergeCell ref="D11:D12"/>
    <mergeCell ref="D13:D14"/>
    <mergeCell ref="D15:D16"/>
    <mergeCell ref="D20:D23"/>
  </mergeCells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5"/>
  <dimension ref="A1:Y102"/>
  <sheetViews>
    <sheetView workbookViewId="0">
      <selection activeCell="D2" sqref="D2"/>
    </sheetView>
  </sheetViews>
  <sheetFormatPr defaultColWidth="8.85546875" defaultRowHeight="15" x14ac:dyDescent="0.25"/>
  <cols>
    <col min="1" max="1" width="2" style="225" customWidth="1"/>
    <col min="2" max="2" width="4.140625" style="228" customWidth="1"/>
    <col min="3" max="3" width="82.42578125" style="228" customWidth="1"/>
    <col min="4" max="4" width="17.5703125" style="227" bestFit="1" customWidth="1"/>
    <col min="5" max="5" width="10.5703125" style="228" customWidth="1"/>
    <col min="6" max="6" width="19.42578125" style="228" bestFit="1" customWidth="1"/>
    <col min="7" max="7" width="32.140625" style="228" customWidth="1"/>
    <col min="8" max="8" width="12.140625" style="228" customWidth="1"/>
    <col min="9" max="9" width="19.85546875" style="228" customWidth="1"/>
    <col min="10" max="10" width="13.140625" style="228" bestFit="1" customWidth="1"/>
    <col min="11" max="11" width="20.42578125" style="228" customWidth="1"/>
    <col min="12" max="12" width="16.42578125" style="228" customWidth="1"/>
    <col min="13" max="13" width="17.140625" style="228" customWidth="1"/>
    <col min="14" max="14" width="4.42578125" style="228" customWidth="1"/>
    <col min="15" max="15" width="62.140625" style="229" customWidth="1"/>
    <col min="16" max="17" width="19.5703125" style="228" customWidth="1"/>
    <col min="18" max="18" width="17.42578125" style="228" customWidth="1"/>
    <col min="19" max="19" width="19.85546875" style="228" customWidth="1"/>
    <col min="20" max="20" width="8.85546875" style="228" customWidth="1"/>
    <col min="21" max="21" width="20.140625" style="228" customWidth="1"/>
    <col min="22" max="22" width="11.85546875" style="228" bestFit="1" customWidth="1"/>
    <col min="23" max="23" width="8.85546875" style="228"/>
    <col min="24" max="24" width="36.140625" style="228" customWidth="1"/>
    <col min="25" max="25" width="9.5703125" style="228" bestFit="1" customWidth="1"/>
    <col min="26" max="16384" width="8.85546875" style="228"/>
  </cols>
  <sheetData>
    <row r="1" spans="2:18" x14ac:dyDescent="0.25">
      <c r="B1" s="226"/>
      <c r="C1" s="226"/>
    </row>
    <row r="2" spans="2:18" ht="15.75" x14ac:dyDescent="0.25">
      <c r="B2" s="230"/>
      <c r="C2" s="230" t="s">
        <v>166</v>
      </c>
      <c r="D2" s="231">
        <v>17.52</v>
      </c>
      <c r="E2" s="232" t="s">
        <v>64</v>
      </c>
    </row>
    <row r="3" spans="2:18" ht="16.5" thickBot="1" x14ac:dyDescent="0.3">
      <c r="B3" s="233"/>
      <c r="C3" s="230" t="s">
        <v>167</v>
      </c>
      <c r="D3" s="232">
        <v>365</v>
      </c>
      <c r="E3" s="232" t="s">
        <v>168</v>
      </c>
      <c r="F3" s="234"/>
      <c r="G3" s="235"/>
      <c r="H3" s="234"/>
    </row>
    <row r="4" spans="2:18" ht="32.25" thickBot="1" x14ac:dyDescent="0.3">
      <c r="B4" s="233"/>
      <c r="C4" s="230" t="s">
        <v>169</v>
      </c>
      <c r="D4" s="236">
        <v>65</v>
      </c>
      <c r="E4" s="232" t="s">
        <v>80</v>
      </c>
      <c r="F4" s="234"/>
      <c r="G4" s="237" t="s">
        <v>170</v>
      </c>
      <c r="H4" s="234"/>
    </row>
    <row r="5" spans="2:18" ht="15.75" x14ac:dyDescent="0.25">
      <c r="B5" s="233"/>
      <c r="C5" s="230"/>
      <c r="D5" s="231"/>
      <c r="E5" s="232"/>
      <c r="F5" s="234"/>
      <c r="G5" s="235"/>
      <c r="H5" s="234"/>
    </row>
    <row r="6" spans="2:18" ht="15.75" x14ac:dyDescent="0.25">
      <c r="B6" s="233"/>
      <c r="C6" s="230" t="s">
        <v>171</v>
      </c>
      <c r="D6" s="238">
        <v>100</v>
      </c>
      <c r="E6" s="232" t="s">
        <v>172</v>
      </c>
      <c r="F6" s="234"/>
      <c r="G6" s="235"/>
      <c r="H6" s="234"/>
    </row>
    <row r="7" spans="2:18" ht="15.75" x14ac:dyDescent="0.25">
      <c r="B7" s="233"/>
      <c r="C7" s="230" t="s">
        <v>173</v>
      </c>
      <c r="D7" s="232">
        <v>3.2</v>
      </c>
      <c r="E7" s="232" t="s">
        <v>174</v>
      </c>
      <c r="F7" s="234"/>
      <c r="H7" s="234"/>
    </row>
    <row r="8" spans="2:18" ht="15.75" x14ac:dyDescent="0.25">
      <c r="B8" s="233"/>
      <c r="C8" s="230" t="s">
        <v>175</v>
      </c>
      <c r="D8" s="232">
        <v>5</v>
      </c>
      <c r="E8" s="232" t="s">
        <v>75</v>
      </c>
      <c r="F8" s="234"/>
      <c r="H8" s="234"/>
    </row>
    <row r="9" spans="2:18" ht="15.75" x14ac:dyDescent="0.25">
      <c r="B9" s="233"/>
      <c r="C9" s="230" t="s">
        <v>176</v>
      </c>
      <c r="D9" s="232">
        <v>16</v>
      </c>
      <c r="E9" s="232" t="s">
        <v>75</v>
      </c>
      <c r="F9" s="234"/>
      <c r="G9" s="235"/>
      <c r="H9" s="234"/>
    </row>
    <row r="10" spans="2:18" ht="15.75" x14ac:dyDescent="0.25">
      <c r="B10" s="233"/>
      <c r="C10" s="230" t="s">
        <v>177</v>
      </c>
      <c r="D10" s="238">
        <f>ROUNDUP(D4*1000/(D7*D6*D8*D9),0)</f>
        <v>3</v>
      </c>
      <c r="E10" s="232" t="s">
        <v>75</v>
      </c>
      <c r="F10" s="234"/>
      <c r="G10" s="235"/>
      <c r="H10" s="235"/>
      <c r="I10" s="235"/>
    </row>
    <row r="11" spans="2:18" ht="15.75" x14ac:dyDescent="0.25">
      <c r="B11" s="233"/>
      <c r="C11" s="230"/>
      <c r="D11" s="238"/>
      <c r="E11" s="232"/>
      <c r="F11" s="234"/>
      <c r="G11" s="235"/>
      <c r="H11" s="235"/>
      <c r="I11" s="235"/>
    </row>
    <row r="12" spans="2:18" ht="15.75" x14ac:dyDescent="0.25">
      <c r="B12" s="233"/>
      <c r="C12" s="230" t="s">
        <v>178</v>
      </c>
      <c r="D12" s="238">
        <f>D6*D7*D15*D14*D10/1000</f>
        <v>61.44</v>
      </c>
      <c r="E12" s="232" t="s">
        <v>80</v>
      </c>
      <c r="F12" s="239"/>
      <c r="G12" s="235"/>
      <c r="H12" s="235"/>
      <c r="I12" s="235"/>
    </row>
    <row r="13" spans="2:18" ht="15.75" x14ac:dyDescent="0.25">
      <c r="B13" s="233"/>
      <c r="C13" s="230" t="s">
        <v>179</v>
      </c>
      <c r="D13" s="232">
        <v>0.9</v>
      </c>
      <c r="E13" s="232" t="s">
        <v>180</v>
      </c>
      <c r="F13" s="240" t="s">
        <v>181</v>
      </c>
      <c r="G13" s="235"/>
      <c r="H13" s="234"/>
    </row>
    <row r="14" spans="2:18" ht="15.75" x14ac:dyDescent="0.25">
      <c r="B14" s="233"/>
      <c r="C14" s="241" t="s">
        <v>182</v>
      </c>
      <c r="D14" s="232">
        <f>ROUND((D4*1000/D10)/(D15*D6*D7),0)</f>
        <v>4</v>
      </c>
      <c r="E14" s="232"/>
      <c r="G14" s="235"/>
      <c r="H14" s="234"/>
    </row>
    <row r="15" spans="2:18" ht="15.75" x14ac:dyDescent="0.25">
      <c r="B15" s="233"/>
      <c r="C15" s="241" t="s">
        <v>183</v>
      </c>
      <c r="D15" s="232">
        <f>D9</f>
        <v>16</v>
      </c>
      <c r="E15" s="232"/>
      <c r="F15" s="239"/>
      <c r="G15" s="235"/>
      <c r="H15" s="234"/>
      <c r="M15" s="242"/>
      <c r="N15" s="242"/>
      <c r="O15" s="243"/>
      <c r="P15" s="242"/>
      <c r="Q15" s="242"/>
      <c r="R15" s="242"/>
    </row>
    <row r="16" spans="2:18" ht="15.75" x14ac:dyDescent="0.25">
      <c r="B16" s="233"/>
      <c r="C16" s="241"/>
      <c r="D16" s="232"/>
      <c r="E16" s="232"/>
      <c r="F16" s="239"/>
      <c r="G16" s="235"/>
      <c r="H16" s="234"/>
      <c r="M16" s="242"/>
      <c r="N16" s="244"/>
      <c r="O16" s="245"/>
      <c r="P16" s="244"/>
      <c r="Q16" s="244"/>
      <c r="R16" s="242"/>
    </row>
    <row r="17" spans="2:25" ht="15.75" x14ac:dyDescent="0.25">
      <c r="B17" s="233"/>
      <c r="C17" s="241" t="s">
        <v>184</v>
      </c>
      <c r="D17" s="232">
        <f>D7*D15</f>
        <v>51.2</v>
      </c>
      <c r="E17" s="232"/>
      <c r="F17" s="234"/>
      <c r="G17" s="235"/>
      <c r="H17" s="234"/>
      <c r="M17" s="242"/>
      <c r="N17" s="244"/>
      <c r="O17" s="245"/>
      <c r="P17" s="244"/>
      <c r="Q17" s="244"/>
      <c r="R17" s="242"/>
    </row>
    <row r="18" spans="2:25" ht="15.75" x14ac:dyDescent="0.25">
      <c r="B18" s="233"/>
      <c r="C18" s="241"/>
      <c r="D18" s="232"/>
      <c r="E18" s="232"/>
      <c r="F18" s="239"/>
      <c r="G18" s="235"/>
      <c r="H18" s="234"/>
      <c r="M18" s="242"/>
      <c r="N18" s="244"/>
      <c r="O18" s="559"/>
      <c r="P18" s="244"/>
      <c r="Q18" s="244"/>
      <c r="R18" s="242"/>
    </row>
    <row r="19" spans="2:25" ht="15.75" x14ac:dyDescent="0.25">
      <c r="B19" s="233"/>
      <c r="C19" s="230"/>
      <c r="D19" s="232"/>
      <c r="E19" s="232"/>
      <c r="F19" s="228">
        <v>3</v>
      </c>
      <c r="G19" s="246" t="s">
        <v>65</v>
      </c>
      <c r="H19" s="228">
        <v>15</v>
      </c>
      <c r="M19" s="242"/>
      <c r="N19" s="244"/>
      <c r="O19" s="559"/>
      <c r="P19" s="244"/>
      <c r="Q19" s="244"/>
      <c r="R19" s="242"/>
    </row>
    <row r="20" spans="2:25" ht="31.5" x14ac:dyDescent="0.25">
      <c r="B20" s="247" t="s">
        <v>33</v>
      </c>
      <c r="C20" s="247" t="s">
        <v>0</v>
      </c>
      <c r="D20" s="248" t="s">
        <v>68</v>
      </c>
      <c r="E20" s="247" t="s">
        <v>69</v>
      </c>
      <c r="F20" s="248" t="s">
        <v>70</v>
      </c>
      <c r="G20" s="248" t="s">
        <v>71</v>
      </c>
      <c r="H20" s="248" t="s">
        <v>72</v>
      </c>
      <c r="I20" s="248" t="s">
        <v>185</v>
      </c>
      <c r="K20" s="228" t="s">
        <v>66</v>
      </c>
      <c r="L20" s="249">
        <f>D2*1000</f>
        <v>17520</v>
      </c>
      <c r="M20" s="242"/>
      <c r="N20" s="244"/>
      <c r="O20" s="245"/>
      <c r="P20" s="244"/>
      <c r="Q20" s="244"/>
      <c r="R20" s="242"/>
    </row>
    <row r="21" spans="2:25" ht="15.75" x14ac:dyDescent="0.25">
      <c r="B21" s="250">
        <v>1</v>
      </c>
      <c r="C21" s="241" t="str">
        <f>CONCATENATE("Фотоэлектрические модули ",TEXT(D3,0)," Вт")</f>
        <v>Фотоэлектрические модули 365 Вт</v>
      </c>
      <c r="D21" s="250" t="s">
        <v>75</v>
      </c>
      <c r="E21" s="251">
        <v>28</v>
      </c>
      <c r="F21" s="252">
        <f>0.28*D3*L21</f>
        <v>6643</v>
      </c>
      <c r="G21" s="253">
        <f>E21*F21</f>
        <v>186004</v>
      </c>
      <c r="H21" s="254">
        <f>G21/$L$20/$L$21</f>
        <v>0.16333333333333333</v>
      </c>
      <c r="I21" s="255">
        <f>G21/$G$47</f>
        <v>4.8616082706042986E-2</v>
      </c>
      <c r="K21" s="228" t="s">
        <v>186</v>
      </c>
      <c r="L21" s="256">
        <v>65</v>
      </c>
      <c r="M21" s="242"/>
      <c r="N21" s="257"/>
      <c r="O21" s="245"/>
      <c r="P21" s="258"/>
      <c r="Q21" s="259"/>
      <c r="R21" s="260"/>
      <c r="U21" s="261"/>
      <c r="Y21" s="261"/>
    </row>
    <row r="22" spans="2:25" ht="20.25" customHeight="1" x14ac:dyDescent="0.25">
      <c r="B22" s="250">
        <v>2</v>
      </c>
      <c r="C22" s="241" t="s">
        <v>187</v>
      </c>
      <c r="D22" s="250" t="s">
        <v>75</v>
      </c>
      <c r="E22" s="251">
        <v>1</v>
      </c>
      <c r="F22" s="262">
        <f>270000</f>
        <v>270000</v>
      </c>
      <c r="G22" s="253">
        <f>F22*E22</f>
        <v>270000</v>
      </c>
      <c r="H22" s="254">
        <f t="shared" ref="H22:H47" si="0">G22/$L$20/$L$21</f>
        <v>0.23709167544783985</v>
      </c>
      <c r="I22" s="255">
        <f>G22/$G$47</f>
        <v>7.0570215321345817E-2</v>
      </c>
      <c r="K22" s="228" t="s">
        <v>188</v>
      </c>
      <c r="L22" s="263">
        <v>78</v>
      </c>
      <c r="M22" s="242"/>
      <c r="N22" s="257"/>
      <c r="O22" s="245"/>
      <c r="P22" s="258"/>
      <c r="Q22" s="259"/>
      <c r="R22" s="260"/>
      <c r="U22" s="261"/>
      <c r="Y22" s="261"/>
    </row>
    <row r="23" spans="2:25" ht="15.75" x14ac:dyDescent="0.25">
      <c r="B23" s="250">
        <v>3</v>
      </c>
      <c r="C23" s="241" t="s">
        <v>237</v>
      </c>
      <c r="D23" s="250" t="s">
        <v>75</v>
      </c>
      <c r="E23" s="264">
        <v>3</v>
      </c>
      <c r="F23" s="262">
        <f>(440)*L22</f>
        <v>34320</v>
      </c>
      <c r="G23" s="253">
        <f t="shared" ref="G23:G29" si="1">F23*E23</f>
        <v>102960</v>
      </c>
      <c r="H23" s="254">
        <f t="shared" si="0"/>
        <v>9.0410958904109592E-2</v>
      </c>
      <c r="I23" s="255">
        <f>G23/$G$47</f>
        <v>2.6910775442539871E-2</v>
      </c>
      <c r="M23" s="242"/>
      <c r="N23" s="257"/>
      <c r="O23" s="245"/>
      <c r="P23" s="258"/>
      <c r="Q23" s="259"/>
      <c r="R23" s="260"/>
      <c r="U23" s="261"/>
      <c r="Y23" s="261"/>
    </row>
    <row r="24" spans="2:25" ht="15.75" x14ac:dyDescent="0.25">
      <c r="B24" s="250">
        <v>4</v>
      </c>
      <c r="C24" s="241" t="s">
        <v>190</v>
      </c>
      <c r="D24" s="250" t="s">
        <v>75</v>
      </c>
      <c r="E24" s="264">
        <v>1</v>
      </c>
      <c r="F24" s="262">
        <f>(165)*L22</f>
        <v>12870</v>
      </c>
      <c r="G24" s="253">
        <f>F24*E24</f>
        <v>12870</v>
      </c>
      <c r="H24" s="254"/>
      <c r="I24" s="255"/>
      <c r="M24" s="242"/>
      <c r="N24" s="257"/>
      <c r="O24" s="245"/>
      <c r="P24" s="258"/>
      <c r="Q24" s="259"/>
      <c r="R24" s="260"/>
      <c r="U24" s="261"/>
      <c r="Y24" s="261"/>
    </row>
    <row r="25" spans="2:25" ht="15.75" x14ac:dyDescent="0.25">
      <c r="B25" s="250">
        <v>5</v>
      </c>
      <c r="C25" s="265" t="s">
        <v>238</v>
      </c>
      <c r="D25" s="250" t="s">
        <v>75</v>
      </c>
      <c r="E25" s="264">
        <v>3</v>
      </c>
      <c r="F25" s="262">
        <f>(2873)*L22</f>
        <v>224094</v>
      </c>
      <c r="G25" s="253">
        <f>F25*E25</f>
        <v>672282</v>
      </c>
      <c r="H25" s="254"/>
      <c r="I25" s="255"/>
      <c r="M25" s="242"/>
      <c r="N25" s="257"/>
      <c r="O25" s="245"/>
      <c r="P25" s="258"/>
      <c r="Q25" s="259"/>
      <c r="R25" s="260"/>
      <c r="U25" s="261"/>
      <c r="Y25" s="261"/>
    </row>
    <row r="26" spans="2:25" ht="15.75" x14ac:dyDescent="0.25">
      <c r="B26" s="250">
        <v>6</v>
      </c>
      <c r="C26" s="241" t="s">
        <v>192</v>
      </c>
      <c r="D26" s="250" t="s">
        <v>75</v>
      </c>
      <c r="E26" s="264">
        <v>1</v>
      </c>
      <c r="F26" s="262">
        <v>30000</v>
      </c>
      <c r="G26" s="262">
        <v>30000</v>
      </c>
      <c r="H26" s="254"/>
      <c r="I26" s="255"/>
      <c r="M26" s="242"/>
      <c r="N26" s="257"/>
      <c r="O26" s="245"/>
      <c r="P26" s="258"/>
      <c r="Q26" s="259"/>
      <c r="R26" s="260"/>
      <c r="U26" s="261"/>
      <c r="Y26" s="261"/>
    </row>
    <row r="27" spans="2:25" ht="15.75" x14ac:dyDescent="0.25">
      <c r="B27" s="250">
        <v>7</v>
      </c>
      <c r="C27" s="266" t="str">
        <f>CONCATENATE("аккумулятор LiFePO4 GBS",TEXT(D6,0)," Ач +ЗИП5%")</f>
        <v>аккумулятор LiFePO4 GBS100 Ач +ЗИП5%</v>
      </c>
      <c r="D27" s="250" t="s">
        <v>75</v>
      </c>
      <c r="E27" s="267">
        <f>ROUND(D15*D14*D10*1,0)</f>
        <v>192</v>
      </c>
      <c r="F27" s="268">
        <f>D13*D6*L21</f>
        <v>5850</v>
      </c>
      <c r="G27" s="253">
        <f t="shared" si="1"/>
        <v>1123200</v>
      </c>
      <c r="H27" s="254">
        <f t="shared" si="0"/>
        <v>0.98630136986301364</v>
      </c>
      <c r="I27" s="255">
        <f t="shared" ref="I27:I33" si="2">G27/$G$47</f>
        <v>0.2935720957367986</v>
      </c>
      <c r="L27" s="269"/>
      <c r="M27" s="242"/>
      <c r="N27" s="257"/>
      <c r="O27" s="245"/>
      <c r="P27" s="258"/>
      <c r="Q27" s="259"/>
      <c r="R27" s="260"/>
      <c r="U27" s="261"/>
      <c r="Y27" s="261"/>
    </row>
    <row r="28" spans="2:25" ht="15.75" x14ac:dyDescent="0.25">
      <c r="B28" s="250">
        <v>8</v>
      </c>
      <c r="C28" s="270" t="s">
        <v>193</v>
      </c>
      <c r="D28" s="250" t="s">
        <v>75</v>
      </c>
      <c r="E28" s="264">
        <f>E27</f>
        <v>192</v>
      </c>
      <c r="F28" s="262">
        <v>1200</v>
      </c>
      <c r="G28" s="253">
        <f t="shared" si="1"/>
        <v>230400</v>
      </c>
      <c r="H28" s="254">
        <f t="shared" si="0"/>
        <v>0.20231822971548999</v>
      </c>
      <c r="I28" s="255">
        <f t="shared" si="2"/>
        <v>6.021991707421509E-2</v>
      </c>
      <c r="L28" s="269"/>
      <c r="M28" s="242"/>
      <c r="N28" s="257"/>
      <c r="O28" s="245"/>
      <c r="P28" s="258"/>
      <c r="Q28" s="259"/>
      <c r="R28" s="260"/>
      <c r="U28" s="261"/>
      <c r="Y28" s="261"/>
    </row>
    <row r="29" spans="2:25" ht="15.75" x14ac:dyDescent="0.25">
      <c r="B29" s="250">
        <v>9</v>
      </c>
      <c r="C29" s="270" t="s">
        <v>194</v>
      </c>
      <c r="D29" s="250" t="s">
        <v>75</v>
      </c>
      <c r="E29" s="264">
        <f>D10</f>
        <v>3</v>
      </c>
      <c r="F29" s="262">
        <v>5000</v>
      </c>
      <c r="G29" s="253">
        <f t="shared" si="1"/>
        <v>15000</v>
      </c>
      <c r="H29" s="254">
        <f t="shared" si="0"/>
        <v>1.3171759747102213E-2</v>
      </c>
      <c r="I29" s="255">
        <f t="shared" si="2"/>
        <v>3.9205675178525454E-3</v>
      </c>
      <c r="L29" s="269"/>
      <c r="M29" s="242"/>
      <c r="N29" s="244"/>
      <c r="O29" s="245"/>
      <c r="P29" s="258"/>
      <c r="Q29" s="259"/>
      <c r="R29" s="260"/>
      <c r="U29" s="261"/>
      <c r="Y29" s="261"/>
    </row>
    <row r="30" spans="2:25" ht="15.75" x14ac:dyDescent="0.25">
      <c r="B30" s="250">
        <v>10</v>
      </c>
      <c r="C30" s="270" t="s">
        <v>195</v>
      </c>
      <c r="D30" s="250" t="s">
        <v>75</v>
      </c>
      <c r="E30" s="264">
        <v>1</v>
      </c>
      <c r="F30" s="262">
        <v>25967</v>
      </c>
      <c r="G30" s="253">
        <f>F30*E30</f>
        <v>25967</v>
      </c>
      <c r="H30" s="254">
        <f t="shared" si="0"/>
        <v>2.2802072356866876E-2</v>
      </c>
      <c r="I30" s="255">
        <f t="shared" si="2"/>
        <v>6.7870251157384695E-3</v>
      </c>
      <c r="M30" s="242"/>
      <c r="N30" s="244"/>
      <c r="O30" s="245"/>
      <c r="P30" s="258"/>
      <c r="Q30" s="259"/>
      <c r="R30" s="260"/>
      <c r="U30" s="261"/>
      <c r="Y30" s="261"/>
    </row>
    <row r="31" spans="2:25" ht="15.75" x14ac:dyDescent="0.25">
      <c r="B31" s="250">
        <v>11</v>
      </c>
      <c r="C31" s="270" t="s">
        <v>196</v>
      </c>
      <c r="D31" s="250" t="s">
        <v>75</v>
      </c>
      <c r="E31" s="264">
        <f>E29</f>
        <v>3</v>
      </c>
      <c r="F31" s="262">
        <v>10300</v>
      </c>
      <c r="G31" s="253">
        <f>F31*E31</f>
        <v>30900</v>
      </c>
      <c r="H31" s="254">
        <f t="shared" si="0"/>
        <v>2.713382507903056E-2</v>
      </c>
      <c r="I31" s="255">
        <f t="shared" si="2"/>
        <v>8.0763690867762424E-3</v>
      </c>
      <c r="M31" s="242"/>
      <c r="N31" s="244"/>
      <c r="O31" s="245"/>
      <c r="P31" s="244"/>
      <c r="Q31" s="259"/>
      <c r="R31" s="260"/>
      <c r="U31" s="261"/>
      <c r="Y31" s="261"/>
    </row>
    <row r="32" spans="2:25" ht="15.75" x14ac:dyDescent="0.25">
      <c r="B32" s="250">
        <v>12</v>
      </c>
      <c r="C32" s="270" t="s">
        <v>197</v>
      </c>
      <c r="D32" s="250" t="s">
        <v>75</v>
      </c>
      <c r="E32" s="264">
        <f>E28</f>
        <v>192</v>
      </c>
      <c r="F32" s="262">
        <v>400</v>
      </c>
      <c r="G32" s="253">
        <f>F32*E32</f>
        <v>76800</v>
      </c>
      <c r="H32" s="254">
        <f t="shared" si="0"/>
        <v>6.7439409905163325E-2</v>
      </c>
      <c r="I32" s="255">
        <f t="shared" si="2"/>
        <v>2.007330569140503E-2</v>
      </c>
      <c r="M32" s="242"/>
      <c r="N32" s="244"/>
      <c r="O32" s="245"/>
      <c r="P32" s="271"/>
      <c r="Q32" s="259"/>
      <c r="R32" s="260"/>
      <c r="U32" s="261"/>
      <c r="Y32" s="261"/>
    </row>
    <row r="33" spans="2:25" ht="15.75" x14ac:dyDescent="0.25">
      <c r="B33" s="250">
        <v>13</v>
      </c>
      <c r="C33" s="270" t="s">
        <v>198</v>
      </c>
      <c r="D33" s="250" t="s">
        <v>199</v>
      </c>
      <c r="E33" s="264">
        <v>1</v>
      </c>
      <c r="F33" s="268"/>
      <c r="G33" s="253">
        <f>100000/358*E27</f>
        <v>53631.284916201119</v>
      </c>
      <c r="H33" s="254">
        <f t="shared" si="0"/>
        <v>4.7094559989639198E-2</v>
      </c>
      <c r="I33" s="255">
        <f t="shared" si="2"/>
        <v>1.4017671572210217E-2</v>
      </c>
      <c r="M33" s="242"/>
      <c r="N33" s="244"/>
      <c r="O33" s="245"/>
      <c r="P33" s="271"/>
      <c r="Q33" s="259"/>
      <c r="R33" s="260"/>
      <c r="U33" s="261"/>
      <c r="Y33" s="261"/>
    </row>
    <row r="34" spans="2:25" ht="15.75" x14ac:dyDescent="0.25">
      <c r="B34" s="250"/>
      <c r="C34" s="272" t="s">
        <v>239</v>
      </c>
      <c r="D34" s="250" t="s">
        <v>75</v>
      </c>
      <c r="E34" s="264">
        <v>1</v>
      </c>
      <c r="F34" s="268">
        <f>700000/1.18</f>
        <v>593220.3389830509</v>
      </c>
      <c r="G34" s="253">
        <f t="shared" ref="G34:G42" si="3">F34*E34</f>
        <v>593220.3389830509</v>
      </c>
      <c r="H34" s="254"/>
      <c r="I34" s="255"/>
      <c r="M34" s="242"/>
      <c r="N34" s="242"/>
      <c r="O34" s="243"/>
      <c r="P34" s="242"/>
      <c r="Q34" s="273"/>
      <c r="R34" s="260"/>
      <c r="U34" s="261"/>
      <c r="Y34" s="261"/>
    </row>
    <row r="35" spans="2:25" ht="15.75" x14ac:dyDescent="0.25">
      <c r="B35" s="250"/>
      <c r="C35" s="272" t="s">
        <v>240</v>
      </c>
      <c r="D35" s="250" t="s">
        <v>75</v>
      </c>
      <c r="E35" s="264">
        <v>1</v>
      </c>
      <c r="F35" s="268">
        <f>150000/1.18</f>
        <v>127118.64406779662</v>
      </c>
      <c r="G35" s="253">
        <f t="shared" si="3"/>
        <v>127118.64406779662</v>
      </c>
      <c r="H35" s="254"/>
      <c r="I35" s="255"/>
      <c r="M35" s="242"/>
      <c r="N35" s="242"/>
      <c r="O35" s="243"/>
      <c r="P35" s="242"/>
      <c r="Q35" s="273"/>
      <c r="R35" s="260"/>
      <c r="U35" s="261"/>
      <c r="Y35" s="261"/>
    </row>
    <row r="36" spans="2:25" ht="15.75" x14ac:dyDescent="0.25">
      <c r="B36" s="250"/>
      <c r="C36" s="274" t="s">
        <v>201</v>
      </c>
      <c r="D36" s="250"/>
      <c r="E36" s="264"/>
      <c r="F36" s="268"/>
      <c r="G36" s="253"/>
      <c r="H36" s="254"/>
      <c r="I36" s="255"/>
      <c r="M36" s="242"/>
      <c r="N36" s="242"/>
      <c r="O36" s="243"/>
      <c r="P36" s="242"/>
      <c r="Q36" s="273"/>
      <c r="R36" s="260"/>
      <c r="U36" s="261"/>
      <c r="Y36" s="261"/>
    </row>
    <row r="37" spans="2:25" ht="15.75" x14ac:dyDescent="0.25">
      <c r="B37" s="250">
        <v>17</v>
      </c>
      <c r="C37" s="241" t="s">
        <v>202</v>
      </c>
      <c r="D37" s="250" t="s">
        <v>203</v>
      </c>
      <c r="E37" s="275">
        <v>150</v>
      </c>
      <c r="F37" s="262">
        <f>0.71*L22/1.18</f>
        <v>46.932203389830505</v>
      </c>
      <c r="G37" s="253">
        <f t="shared" si="3"/>
        <v>7039.8305084745762</v>
      </c>
      <c r="H37" s="254">
        <f t="shared" si="0"/>
        <v>6.1817970745298356E-3</v>
      </c>
      <c r="I37" s="255">
        <f>G37/$G$47</f>
        <v>1.840008721514186E-3</v>
      </c>
      <c r="M37" s="276"/>
      <c r="N37" s="242"/>
      <c r="O37" s="243"/>
      <c r="P37" s="242"/>
      <c r="Q37" s="273"/>
      <c r="R37" s="260"/>
      <c r="U37" s="261"/>
    </row>
    <row r="38" spans="2:25" ht="15.75" x14ac:dyDescent="0.25">
      <c r="B38" s="250">
        <v>18</v>
      </c>
      <c r="C38" s="241" t="s">
        <v>96</v>
      </c>
      <c r="D38" s="250" t="s">
        <v>75</v>
      </c>
      <c r="E38" s="264">
        <f>F19*2</f>
        <v>6</v>
      </c>
      <c r="F38" s="277">
        <f>0.74*L22</f>
        <v>57.72</v>
      </c>
      <c r="G38" s="253">
        <f t="shared" si="3"/>
        <v>346.32</v>
      </c>
      <c r="H38" s="254">
        <f t="shared" si="0"/>
        <v>3.0410958904109585E-4</v>
      </c>
      <c r="I38" s="255">
        <f>G38/$G$47</f>
        <v>9.0518062852179559E-5</v>
      </c>
      <c r="M38" s="242"/>
      <c r="N38" s="242"/>
      <c r="O38" s="243"/>
      <c r="P38" s="273"/>
      <c r="Q38" s="278"/>
      <c r="R38" s="278"/>
      <c r="U38" s="261"/>
    </row>
    <row r="39" spans="2:25" ht="15.75" x14ac:dyDescent="0.25">
      <c r="B39" s="250">
        <v>21</v>
      </c>
      <c r="C39" s="241" t="s">
        <v>204</v>
      </c>
      <c r="D39" s="250" t="s">
        <v>75</v>
      </c>
      <c r="E39" s="264">
        <v>1</v>
      </c>
      <c r="F39" s="279">
        <v>50000</v>
      </c>
      <c r="G39" s="253">
        <f t="shared" si="3"/>
        <v>50000</v>
      </c>
      <c r="H39" s="254">
        <f t="shared" si="0"/>
        <v>4.3905865823674041E-2</v>
      </c>
      <c r="I39" s="255">
        <f>G39/$G$47</f>
        <v>1.3068558392841817E-2</v>
      </c>
      <c r="L39" s="280"/>
      <c r="M39" s="280"/>
      <c r="S39" s="281"/>
      <c r="T39" s="281"/>
    </row>
    <row r="40" spans="2:25" ht="15.75" x14ac:dyDescent="0.25">
      <c r="B40" s="250">
        <v>26</v>
      </c>
      <c r="C40" s="241" t="s">
        <v>205</v>
      </c>
      <c r="D40" s="282" t="s">
        <v>206</v>
      </c>
      <c r="E40" s="264">
        <v>1</v>
      </c>
      <c r="F40" s="283">
        <f>5000*D2/1.18</f>
        <v>74237.288135593219</v>
      </c>
      <c r="G40" s="253">
        <f t="shared" si="3"/>
        <v>74237.288135593219</v>
      </c>
      <c r="H40" s="254">
        <f t="shared" si="0"/>
        <v>6.51890482398957E-2</v>
      </c>
      <c r="I40" s="255">
        <f>G40/$G$47</f>
        <v>1.9403486698524462E-2</v>
      </c>
      <c r="L40" s="280"/>
      <c r="M40" s="284"/>
      <c r="N40" s="280"/>
      <c r="S40" s="281"/>
      <c r="T40" s="281"/>
    </row>
    <row r="41" spans="2:25" ht="15.75" x14ac:dyDescent="0.25">
      <c r="B41" s="250"/>
      <c r="C41" s="241" t="s">
        <v>207</v>
      </c>
      <c r="D41" s="282" t="s">
        <v>75</v>
      </c>
      <c r="E41" s="264">
        <v>12</v>
      </c>
      <c r="F41" s="283">
        <v>12000</v>
      </c>
      <c r="G41" s="253">
        <f t="shared" si="3"/>
        <v>144000</v>
      </c>
      <c r="H41" s="254"/>
      <c r="I41" s="273"/>
      <c r="L41" s="280"/>
      <c r="M41" s="284"/>
      <c r="N41" s="280"/>
      <c r="S41" s="281"/>
      <c r="T41" s="281"/>
    </row>
    <row r="42" spans="2:25" ht="15.75" x14ac:dyDescent="0.25">
      <c r="B42" s="250"/>
      <c r="C42" s="285" t="s">
        <v>208</v>
      </c>
      <c r="D42" s="247"/>
      <c r="E42" s="286">
        <v>2</v>
      </c>
      <c r="F42" s="287">
        <v>375000</v>
      </c>
      <c r="G42" s="253">
        <f t="shared" si="3"/>
        <v>750000</v>
      </c>
      <c r="H42" s="254">
        <f t="shared" si="0"/>
        <v>0.65858798735511059</v>
      </c>
      <c r="I42" s="288"/>
      <c r="K42" s="289"/>
      <c r="L42" s="290"/>
      <c r="M42" s="290"/>
      <c r="N42" s="291"/>
      <c r="O42" s="292"/>
      <c r="P42" s="284"/>
      <c r="Q42" s="284"/>
      <c r="R42" s="284"/>
      <c r="S42" s="281"/>
      <c r="T42" s="281"/>
      <c r="U42" s="284"/>
    </row>
    <row r="43" spans="2:25" ht="15.75" x14ac:dyDescent="0.25">
      <c r="B43" s="250"/>
      <c r="C43" s="285" t="s">
        <v>92</v>
      </c>
      <c r="D43" s="247"/>
      <c r="E43" s="286">
        <v>1</v>
      </c>
      <c r="F43" s="283">
        <v>150000</v>
      </c>
      <c r="G43" s="253">
        <f>E43*F43</f>
        <v>150000</v>
      </c>
      <c r="H43" s="254">
        <f t="shared" si="0"/>
        <v>0.13171759747102213</v>
      </c>
      <c r="I43" s="288"/>
      <c r="K43" s="289"/>
      <c r="L43" s="289"/>
      <c r="M43" s="293"/>
      <c r="N43" s="281"/>
      <c r="O43" s="294"/>
      <c r="P43" s="295"/>
      <c r="Q43" s="295"/>
      <c r="R43" s="295"/>
      <c r="S43" s="281"/>
      <c r="T43" s="281"/>
      <c r="U43" s="295"/>
    </row>
    <row r="44" spans="2:25" ht="15.75" x14ac:dyDescent="0.25">
      <c r="B44" s="250"/>
      <c r="C44" s="285" t="s">
        <v>209</v>
      </c>
      <c r="D44" s="247"/>
      <c r="E44" s="286">
        <v>0</v>
      </c>
      <c r="F44" s="283">
        <v>2500000</v>
      </c>
      <c r="G44" s="253">
        <f>F44*E44</f>
        <v>0</v>
      </c>
      <c r="H44" s="254">
        <f t="shared" si="0"/>
        <v>0</v>
      </c>
      <c r="I44" s="288"/>
      <c r="K44" s="289"/>
      <c r="L44" s="289"/>
      <c r="M44" s="293"/>
      <c r="N44" s="281"/>
      <c r="O44" s="294"/>
      <c r="P44" s="295"/>
      <c r="Q44" s="295"/>
      <c r="R44" s="295"/>
      <c r="S44" s="281"/>
      <c r="T44" s="281"/>
      <c r="U44" s="295"/>
    </row>
    <row r="45" spans="2:25" ht="21" customHeight="1" x14ac:dyDescent="0.25">
      <c r="B45" s="250"/>
      <c r="C45" s="296"/>
      <c r="D45" s="247"/>
      <c r="E45" s="297"/>
      <c r="F45" s="283"/>
      <c r="G45" s="253">
        <f>F45</f>
        <v>0</v>
      </c>
      <c r="H45" s="254">
        <f t="shared" si="0"/>
        <v>0</v>
      </c>
      <c r="I45" s="298"/>
      <c r="K45" s="289"/>
      <c r="L45" s="289"/>
      <c r="M45" s="293"/>
      <c r="N45" s="281"/>
      <c r="O45" s="294"/>
      <c r="P45" s="295"/>
      <c r="Q45" s="295"/>
      <c r="R45" s="281"/>
      <c r="S45" s="281"/>
      <c r="T45" s="281"/>
      <c r="U45" s="281"/>
      <c r="V45" s="289"/>
      <c r="W45" s="289"/>
      <c r="X45" s="289"/>
      <c r="Y45" s="289"/>
    </row>
    <row r="46" spans="2:25" ht="15.75" x14ac:dyDescent="0.25">
      <c r="B46" s="250"/>
      <c r="C46" s="285"/>
      <c r="D46" s="247"/>
      <c r="E46" s="297"/>
      <c r="F46" s="283"/>
      <c r="G46" s="253"/>
      <c r="H46" s="254"/>
      <c r="I46" s="253" t="e">
        <f>G49-G21-G23-#REF!</f>
        <v>#REF!</v>
      </c>
      <c r="K46" s="289"/>
      <c r="L46" s="299"/>
      <c r="M46" s="281"/>
      <c r="N46" s="289"/>
      <c r="O46" s="294"/>
      <c r="P46" s="295"/>
      <c r="Q46" s="295"/>
      <c r="R46" s="281"/>
      <c r="S46" s="281"/>
      <c r="T46" s="281"/>
      <c r="U46" s="281"/>
      <c r="V46" s="289"/>
      <c r="W46" s="289"/>
      <c r="X46" s="289"/>
      <c r="Y46" s="289"/>
    </row>
    <row r="47" spans="2:25" ht="15.75" x14ac:dyDescent="0.25">
      <c r="B47" s="250"/>
      <c r="C47" s="285" t="s">
        <v>0</v>
      </c>
      <c r="D47" s="247"/>
      <c r="E47" s="286"/>
      <c r="F47" s="283"/>
      <c r="G47" s="253">
        <f>SUM(G21:G41)</f>
        <v>3825976.7066111164</v>
      </c>
      <c r="H47" s="254">
        <f t="shared" si="0"/>
        <v>3.3596563984993999</v>
      </c>
      <c r="I47" s="253">
        <f>G47*(1+0.1)</f>
        <v>4208574.3772722287</v>
      </c>
      <c r="K47" s="289"/>
      <c r="L47" s="300"/>
      <c r="M47" s="281"/>
      <c r="N47" s="289"/>
      <c r="O47" s="294"/>
      <c r="P47" s="295"/>
      <c r="Q47" s="295"/>
      <c r="R47" s="281"/>
      <c r="S47" s="281"/>
      <c r="T47" s="281"/>
      <c r="U47" s="281"/>
      <c r="V47" s="289"/>
      <c r="W47" s="289"/>
      <c r="X47" s="289"/>
      <c r="Y47" s="289"/>
    </row>
    <row r="48" spans="2:25" ht="15.75" x14ac:dyDescent="0.2">
      <c r="B48" s="250"/>
      <c r="C48" s="301" t="s">
        <v>151</v>
      </c>
      <c r="D48" s="302" t="s">
        <v>86</v>
      </c>
      <c r="E48" s="297">
        <v>0.03</v>
      </c>
      <c r="F48" s="303"/>
      <c r="G48" s="304">
        <f>(SUM(G42:G47))*E48</f>
        <v>141779.30119833347</v>
      </c>
      <c r="H48" s="305">
        <f t="shared" ref="H48:H53" si="4">G48/$L$20/$L$22</f>
        <v>0.10374904958313828</v>
      </c>
      <c r="I48" s="299"/>
      <c r="K48" s="289"/>
      <c r="L48" s="306"/>
      <c r="M48" s="293"/>
      <c r="N48" s="281"/>
      <c r="O48" s="294"/>
      <c r="P48" s="295"/>
      <c r="Q48" s="295"/>
      <c r="R48" s="281"/>
      <c r="S48" s="281"/>
      <c r="T48" s="281"/>
      <c r="U48" s="281"/>
      <c r="V48" s="289"/>
      <c r="W48" s="289"/>
      <c r="X48" s="289"/>
      <c r="Y48" s="289"/>
    </row>
    <row r="49" spans="1:25" ht="15.75" x14ac:dyDescent="0.25">
      <c r="B49" s="230"/>
      <c r="C49" s="285" t="s">
        <v>87</v>
      </c>
      <c r="D49" s="250"/>
      <c r="E49" s="230"/>
      <c r="F49" s="230"/>
      <c r="G49" s="307">
        <f>SUM(G42:G48)</f>
        <v>4867756.0078094499</v>
      </c>
      <c r="H49" s="308">
        <f t="shared" si="4"/>
        <v>3.5620507023544157</v>
      </c>
      <c r="I49" s="280">
        <v>87109134.633479342</v>
      </c>
      <c r="K49" s="289"/>
      <c r="L49" s="289"/>
      <c r="M49" s="293"/>
      <c r="N49" s="281"/>
      <c r="O49" s="294"/>
      <c r="P49" s="295"/>
      <c r="Q49" s="295"/>
      <c r="R49" s="281"/>
      <c r="S49" s="281"/>
      <c r="T49" s="281"/>
      <c r="U49" s="281"/>
      <c r="V49" s="289"/>
      <c r="W49" s="289"/>
      <c r="X49" s="289"/>
      <c r="Y49" s="289"/>
    </row>
    <row r="50" spans="1:25" ht="15.75" x14ac:dyDescent="0.25">
      <c r="B50" s="230"/>
      <c r="C50" s="285" t="s">
        <v>88</v>
      </c>
      <c r="D50" s="250" t="s">
        <v>86</v>
      </c>
      <c r="E50" s="309">
        <v>0.1</v>
      </c>
      <c r="F50" s="230"/>
      <c r="G50" s="310">
        <f>G49*E50</f>
        <v>486775.60078094504</v>
      </c>
      <c r="H50" s="308">
        <f t="shared" si="4"/>
        <v>0.35620507023544157</v>
      </c>
      <c r="I50" s="280">
        <v>13066370.195021901</v>
      </c>
      <c r="K50" s="289"/>
      <c r="L50" s="289"/>
      <c r="M50" s="293"/>
      <c r="N50" s="281"/>
      <c r="O50" s="294"/>
      <c r="P50" s="295"/>
      <c r="Q50" s="295"/>
      <c r="R50" s="281"/>
      <c r="S50" s="281"/>
      <c r="T50" s="281"/>
      <c r="U50" s="281"/>
      <c r="V50" s="289"/>
      <c r="W50" s="289"/>
      <c r="X50" s="289"/>
      <c r="Y50" s="289"/>
    </row>
    <row r="51" spans="1:25" ht="15.75" x14ac:dyDescent="0.25">
      <c r="B51" s="230"/>
      <c r="C51" s="285" t="s">
        <v>89</v>
      </c>
      <c r="D51" s="250"/>
      <c r="E51" s="311"/>
      <c r="F51" s="230"/>
      <c r="G51" s="312">
        <f>G50+G49</f>
        <v>5354531.6085903952</v>
      </c>
      <c r="H51" s="308">
        <f t="shared" si="4"/>
        <v>3.9182557725898572</v>
      </c>
      <c r="I51" s="280">
        <v>100175504.82850124</v>
      </c>
      <c r="M51" s="284"/>
      <c r="N51" s="295"/>
      <c r="O51" s="294"/>
      <c r="P51" s="281"/>
      <c r="Q51" s="281"/>
      <c r="R51" s="281"/>
      <c r="S51" s="281"/>
      <c r="T51" s="281"/>
      <c r="U51" s="281"/>
      <c r="V51" s="289"/>
      <c r="W51" s="289"/>
      <c r="X51" s="289"/>
      <c r="Y51" s="289"/>
    </row>
    <row r="52" spans="1:25" ht="15.75" x14ac:dyDescent="0.25">
      <c r="B52" s="230"/>
      <c r="C52" s="285" t="s">
        <v>90</v>
      </c>
      <c r="D52" s="250"/>
      <c r="E52" s="230"/>
      <c r="F52" s="230"/>
      <c r="G52" s="310">
        <f>G51*0.18</f>
        <v>963815.68954627111</v>
      </c>
      <c r="H52" s="308">
        <f t="shared" si="4"/>
        <v>0.70528603906617426</v>
      </c>
      <c r="I52" s="280">
        <v>18031590.869130224</v>
      </c>
      <c r="M52" s="284"/>
      <c r="N52" s="295"/>
      <c r="O52" s="294"/>
      <c r="P52" s="295"/>
      <c r="Q52" s="281"/>
      <c r="R52" s="281"/>
      <c r="S52" s="281"/>
      <c r="T52" s="281"/>
      <c r="U52" s="281"/>
      <c r="V52" s="289"/>
      <c r="W52" s="289"/>
      <c r="X52" s="289"/>
      <c r="Y52" s="289"/>
    </row>
    <row r="53" spans="1:25" ht="15.75" x14ac:dyDescent="0.25">
      <c r="B53" s="230"/>
      <c r="C53" s="296" t="s">
        <v>91</v>
      </c>
      <c r="D53" s="250"/>
      <c r="E53" s="230"/>
      <c r="F53" s="230"/>
      <c r="G53" s="310">
        <f>G52+G51</f>
        <v>6318347.2981366664</v>
      </c>
      <c r="H53" s="308">
        <f t="shared" si="4"/>
        <v>4.6235418116560316</v>
      </c>
      <c r="I53" s="280">
        <v>118207095.69763146</v>
      </c>
      <c r="L53" s="313"/>
      <c r="M53" s="284"/>
      <c r="N53" s="295"/>
      <c r="O53" s="314"/>
      <c r="P53" s="295"/>
      <c r="Q53" s="281"/>
      <c r="R53" s="281"/>
      <c r="S53" s="281"/>
      <c r="T53" s="281"/>
      <c r="U53" s="281"/>
      <c r="V53" s="315"/>
      <c r="W53" s="315"/>
      <c r="X53" s="315"/>
      <c r="Y53" s="289"/>
    </row>
    <row r="54" spans="1:25" x14ac:dyDescent="0.25">
      <c r="F54" s="316"/>
      <c r="G54" s="316"/>
      <c r="I54" s="280"/>
      <c r="L54" s="313"/>
      <c r="M54" s="284"/>
      <c r="N54" s="295"/>
      <c r="O54" s="294"/>
      <c r="P54" s="295"/>
      <c r="Q54" s="281"/>
      <c r="R54" s="281"/>
      <c r="S54" s="281"/>
      <c r="T54" s="281"/>
      <c r="U54" s="281"/>
      <c r="V54" s="317"/>
      <c r="W54" s="315"/>
      <c r="X54" s="315"/>
      <c r="Y54" s="289"/>
    </row>
    <row r="55" spans="1:25" ht="15.75" customHeight="1" x14ac:dyDescent="0.25">
      <c r="L55" s="300"/>
      <c r="M55" s="293"/>
      <c r="N55" s="281"/>
      <c r="O55" s="294"/>
      <c r="P55" s="295"/>
      <c r="Q55" s="281"/>
      <c r="R55" s="281"/>
      <c r="S55" s="281"/>
      <c r="T55" s="281"/>
      <c r="U55" s="281"/>
      <c r="V55" s="317"/>
      <c r="W55" s="315"/>
      <c r="X55" s="315"/>
      <c r="Y55" s="289"/>
    </row>
    <row r="56" spans="1:25" x14ac:dyDescent="0.25">
      <c r="C56" s="318"/>
      <c r="G56" s="269"/>
      <c r="L56" s="300"/>
      <c r="M56" s="293"/>
      <c r="N56" s="281"/>
      <c r="O56" s="294"/>
      <c r="P56" s="281"/>
      <c r="Q56" s="281"/>
      <c r="R56" s="281"/>
      <c r="S56" s="281"/>
      <c r="T56" s="281"/>
      <c r="U56" s="281"/>
      <c r="V56" s="317"/>
      <c r="W56" s="315"/>
      <c r="X56" s="315"/>
      <c r="Y56" s="289"/>
    </row>
    <row r="57" spans="1:25" hidden="1" x14ac:dyDescent="0.25">
      <c r="C57" s="228" t="s">
        <v>92</v>
      </c>
      <c r="L57" s="300"/>
      <c r="M57" s="300"/>
      <c r="N57" s="300"/>
      <c r="O57" s="319"/>
      <c r="P57" s="289"/>
      <c r="Q57" s="289"/>
      <c r="R57" s="289"/>
      <c r="S57" s="281"/>
      <c r="T57" s="281"/>
      <c r="U57" s="315"/>
      <c r="V57" s="317"/>
      <c r="W57" s="315"/>
      <c r="X57" s="315"/>
      <c r="Y57" s="289"/>
    </row>
    <row r="58" spans="1:25" hidden="1" x14ac:dyDescent="0.25">
      <c r="C58" s="249" t="s">
        <v>210</v>
      </c>
      <c r="D58" s="320" t="s">
        <v>93</v>
      </c>
      <c r="E58" s="249">
        <f>ROUNDUP((E23)/32,0)</f>
        <v>1</v>
      </c>
      <c r="L58" s="300"/>
      <c r="M58" s="300"/>
      <c r="N58" s="300"/>
      <c r="O58" s="321"/>
      <c r="P58" s="289"/>
      <c r="Q58" s="289"/>
      <c r="R58" s="289"/>
      <c r="S58" s="281"/>
      <c r="T58" s="281"/>
      <c r="U58" s="315"/>
      <c r="V58" s="322"/>
      <c r="W58" s="315"/>
      <c r="X58" s="315"/>
      <c r="Y58" s="289"/>
    </row>
    <row r="59" spans="1:25" hidden="1" x14ac:dyDescent="0.25">
      <c r="C59" s="249" t="s">
        <v>94</v>
      </c>
      <c r="D59" s="320"/>
      <c r="E59" s="249">
        <f>E58</f>
        <v>1</v>
      </c>
      <c r="L59" s="300"/>
      <c r="M59" s="300"/>
      <c r="N59" s="300"/>
      <c r="O59" s="319"/>
      <c r="P59" s="289"/>
      <c r="Q59" s="289"/>
      <c r="R59" s="289"/>
      <c r="S59" s="281"/>
      <c r="T59" s="281"/>
      <c r="U59" s="315"/>
      <c r="V59" s="317"/>
      <c r="W59" s="315"/>
      <c r="X59" s="315"/>
      <c r="Y59" s="289"/>
    </row>
    <row r="60" spans="1:25" hidden="1" x14ac:dyDescent="0.25">
      <c r="L60" s="289"/>
      <c r="M60" s="289"/>
      <c r="N60" s="289"/>
      <c r="O60" s="319"/>
      <c r="P60" s="289"/>
      <c r="Q60" s="289"/>
      <c r="R60" s="289"/>
      <c r="S60" s="281"/>
      <c r="T60" s="281"/>
      <c r="U60" s="315"/>
      <c r="V60" s="317"/>
      <c r="W60" s="315"/>
      <c r="X60" s="315"/>
      <c r="Y60" s="289"/>
    </row>
    <row r="61" spans="1:25" s="227" customFormat="1" hidden="1" x14ac:dyDescent="0.25">
      <c r="A61" s="225"/>
      <c r="B61" s="228"/>
      <c r="C61" s="228"/>
      <c r="E61" s="228"/>
      <c r="F61" s="228"/>
      <c r="G61" s="228"/>
      <c r="H61" s="228"/>
      <c r="I61" s="228"/>
      <c r="J61" s="228"/>
      <c r="K61" s="228"/>
      <c r="L61" s="289"/>
      <c r="M61" s="289"/>
      <c r="N61" s="289"/>
      <c r="O61" s="319"/>
      <c r="P61" s="289"/>
      <c r="Q61" s="289"/>
      <c r="R61" s="289"/>
      <c r="S61" s="281"/>
      <c r="T61" s="281"/>
      <c r="U61" s="315"/>
      <c r="V61" s="322"/>
      <c r="W61" s="315"/>
      <c r="X61" s="315"/>
      <c r="Y61" s="323"/>
    </row>
    <row r="62" spans="1:25" hidden="1" x14ac:dyDescent="0.25">
      <c r="C62" s="324" t="s">
        <v>211</v>
      </c>
      <c r="D62" s="325"/>
      <c r="E62" s="326"/>
      <c r="L62" s="289"/>
      <c r="M62" s="289"/>
      <c r="N62" s="289"/>
      <c r="O62" s="319"/>
      <c r="P62" s="289"/>
      <c r="Q62" s="289"/>
      <c r="R62" s="289"/>
      <c r="S62" s="281"/>
      <c r="T62" s="281"/>
      <c r="U62" s="315"/>
      <c r="V62" s="317"/>
      <c r="W62" s="315"/>
      <c r="X62" s="315"/>
      <c r="Y62" s="289"/>
    </row>
    <row r="63" spans="1:25" hidden="1" x14ac:dyDescent="0.25">
      <c r="C63" s="327" t="s">
        <v>92</v>
      </c>
      <c r="D63" s="328"/>
      <c r="E63" s="329"/>
      <c r="L63" s="289"/>
      <c r="M63" s="289"/>
      <c r="N63" s="289"/>
      <c r="O63" s="319"/>
      <c r="P63" s="289"/>
      <c r="Q63" s="289"/>
      <c r="R63" s="289"/>
      <c r="S63" s="281"/>
      <c r="T63" s="281"/>
      <c r="U63" s="289"/>
      <c r="V63" s="289"/>
      <c r="W63" s="289"/>
      <c r="X63" s="289"/>
      <c r="Y63" s="289"/>
    </row>
    <row r="64" spans="1:25" hidden="1" x14ac:dyDescent="0.25">
      <c r="C64" s="330" t="s">
        <v>212</v>
      </c>
      <c r="D64" s="320" t="s">
        <v>93</v>
      </c>
      <c r="E64" s="331">
        <f>ROUNDUP((E23)/32,0)</f>
        <v>1</v>
      </c>
      <c r="J64" s="280"/>
      <c r="L64" s="289"/>
      <c r="M64" s="289"/>
      <c r="N64" s="289"/>
      <c r="O64" s="319"/>
      <c r="P64" s="289"/>
      <c r="Q64" s="289"/>
      <c r="R64" s="289"/>
      <c r="S64" s="281"/>
      <c r="T64" s="281"/>
      <c r="U64" s="289"/>
      <c r="V64" s="289"/>
      <c r="W64" s="289"/>
      <c r="X64" s="289"/>
      <c r="Y64" s="289"/>
    </row>
    <row r="65" spans="3:25" hidden="1" x14ac:dyDescent="0.25">
      <c r="C65" s="332" t="s">
        <v>213</v>
      </c>
      <c r="D65" s="333" t="s">
        <v>93</v>
      </c>
      <c r="E65" s="334">
        <f>E64</f>
        <v>1</v>
      </c>
      <c r="L65" s="323"/>
      <c r="M65" s="323"/>
      <c r="N65" s="323"/>
      <c r="O65" s="335"/>
      <c r="P65" s="323"/>
      <c r="Q65" s="323"/>
      <c r="R65" s="323"/>
      <c r="S65" s="281"/>
      <c r="T65" s="281"/>
      <c r="U65" s="323"/>
      <c r="V65" s="323"/>
      <c r="W65" s="289"/>
      <c r="X65" s="289"/>
      <c r="Y65" s="289"/>
    </row>
    <row r="66" spans="3:25" hidden="1" x14ac:dyDescent="0.25">
      <c r="C66" s="336"/>
      <c r="D66" s="328"/>
      <c r="E66" s="329"/>
      <c r="L66" s="289"/>
      <c r="M66" s="289"/>
      <c r="N66" s="289"/>
      <c r="O66" s="319"/>
      <c r="P66" s="337"/>
      <c r="Q66" s="289"/>
      <c r="R66" s="289"/>
      <c r="S66" s="281"/>
      <c r="T66" s="281"/>
      <c r="U66" s="289"/>
      <c r="V66" s="289"/>
      <c r="W66" s="289"/>
      <c r="X66" s="289"/>
      <c r="Y66" s="289"/>
    </row>
    <row r="67" spans="3:25" hidden="1" x14ac:dyDescent="0.25">
      <c r="C67" s="327" t="s">
        <v>95</v>
      </c>
      <c r="D67" s="328"/>
      <c r="E67" s="329"/>
      <c r="O67" s="319"/>
      <c r="P67" s="337"/>
      <c r="Q67" s="289"/>
      <c r="R67" s="289"/>
      <c r="S67" s="281"/>
      <c r="T67" s="281"/>
      <c r="U67" s="289"/>
      <c r="V67" s="289"/>
      <c r="W67" s="289"/>
      <c r="X67" s="289"/>
      <c r="Y67" s="289"/>
    </row>
    <row r="68" spans="3:25" hidden="1" x14ac:dyDescent="0.25">
      <c r="C68" s="338" t="s">
        <v>214</v>
      </c>
      <c r="D68" s="320" t="s">
        <v>93</v>
      </c>
      <c r="E68" s="331">
        <f>ROUNDUP(E21/27/16,0)</f>
        <v>1</v>
      </c>
      <c r="O68" s="319"/>
      <c r="P68" s="337"/>
      <c r="Q68" s="289"/>
      <c r="R68" s="289"/>
      <c r="S68" s="281"/>
      <c r="T68" s="281"/>
      <c r="U68" s="289"/>
      <c r="V68" s="289"/>
      <c r="W68" s="289"/>
      <c r="X68" s="289"/>
      <c r="Y68" s="289"/>
    </row>
    <row r="69" spans="3:25" hidden="1" x14ac:dyDescent="0.25">
      <c r="C69" s="339" t="s">
        <v>215</v>
      </c>
      <c r="D69" s="320" t="s">
        <v>93</v>
      </c>
      <c r="E69" s="331">
        <f>ROUNDUP(D2/1000*3,0)</f>
        <v>1</v>
      </c>
      <c r="O69" s="243"/>
      <c r="P69" s="242"/>
      <c r="Q69" s="289"/>
      <c r="R69" s="289"/>
      <c r="S69" s="281"/>
      <c r="T69" s="281"/>
      <c r="U69" s="289"/>
      <c r="V69" s="289"/>
      <c r="W69" s="289"/>
      <c r="X69" s="289"/>
      <c r="Y69" s="289"/>
    </row>
    <row r="70" spans="3:25" ht="32.25" hidden="1" customHeight="1" x14ac:dyDescent="0.25">
      <c r="C70" s="338" t="s">
        <v>216</v>
      </c>
      <c r="D70" s="560" t="s">
        <v>93</v>
      </c>
      <c r="E70" s="562" t="e">
        <f>IF(E77&gt;1,0,1)</f>
        <v>#REF!</v>
      </c>
      <c r="O70" s="340"/>
      <c r="P70" s="341"/>
      <c r="Q70" s="289"/>
      <c r="R70" s="289"/>
      <c r="S70" s="281"/>
      <c r="T70" s="281"/>
      <c r="U70" s="289"/>
      <c r="V70" s="289"/>
      <c r="W70" s="289"/>
      <c r="X70" s="289"/>
      <c r="Y70" s="289"/>
    </row>
    <row r="71" spans="3:25" ht="32.25" hidden="1" customHeight="1" x14ac:dyDescent="0.25">
      <c r="C71" s="338" t="s">
        <v>100</v>
      </c>
      <c r="D71" s="561"/>
      <c r="E71" s="563"/>
      <c r="O71" s="340"/>
      <c r="P71" s="341"/>
      <c r="Q71" s="289"/>
      <c r="R71" s="289"/>
      <c r="S71" s="281"/>
      <c r="T71" s="281"/>
      <c r="U71" s="289"/>
      <c r="V71" s="289"/>
      <c r="W71" s="289"/>
      <c r="X71" s="289"/>
      <c r="Y71" s="289"/>
    </row>
    <row r="72" spans="3:25" hidden="1" x14ac:dyDescent="0.25">
      <c r="C72" s="338" t="s">
        <v>217</v>
      </c>
      <c r="D72" s="561"/>
      <c r="E72" s="563"/>
      <c r="O72" s="342"/>
      <c r="P72" s="343"/>
      <c r="S72" s="281"/>
      <c r="T72" s="281"/>
    </row>
    <row r="73" spans="3:25" ht="35.25" hidden="1" customHeight="1" x14ac:dyDescent="0.25">
      <c r="C73" s="338" t="s">
        <v>218</v>
      </c>
      <c r="D73" s="561"/>
      <c r="E73" s="563"/>
      <c r="O73" s="342"/>
      <c r="P73" s="343"/>
      <c r="S73" s="281"/>
      <c r="T73" s="281"/>
    </row>
    <row r="74" spans="3:25" ht="18" hidden="1" customHeight="1" x14ac:dyDescent="0.25">
      <c r="C74" s="338" t="s">
        <v>219</v>
      </c>
      <c r="D74" s="561"/>
      <c r="E74" s="563"/>
      <c r="O74" s="342"/>
      <c r="P74" s="343"/>
      <c r="S74" s="281"/>
      <c r="T74" s="281"/>
    </row>
    <row r="75" spans="3:25" ht="15.75" hidden="1" customHeight="1" x14ac:dyDescent="0.25">
      <c r="C75" s="339" t="s">
        <v>220</v>
      </c>
      <c r="D75" s="344" t="s">
        <v>93</v>
      </c>
      <c r="E75" s="345">
        <v>0</v>
      </c>
      <c r="O75" s="342"/>
      <c r="P75" s="346"/>
      <c r="S75" s="281"/>
      <c r="T75" s="281"/>
    </row>
    <row r="76" spans="3:25" hidden="1" x14ac:dyDescent="0.25">
      <c r="C76" s="339" t="s">
        <v>221</v>
      </c>
      <c r="D76" s="560" t="s">
        <v>93</v>
      </c>
      <c r="E76" s="347">
        <f>E34</f>
        <v>1</v>
      </c>
      <c r="S76" s="281"/>
      <c r="T76" s="281"/>
    </row>
    <row r="77" spans="3:25" hidden="1" x14ac:dyDescent="0.25">
      <c r="C77" s="330" t="s">
        <v>212</v>
      </c>
      <c r="D77" s="564"/>
      <c r="E77" s="348" t="e">
        <f>#REF!</f>
        <v>#REF!</v>
      </c>
      <c r="S77" s="281"/>
      <c r="T77" s="281"/>
    </row>
    <row r="78" spans="3:25" hidden="1" x14ac:dyDescent="0.25">
      <c r="C78" s="349" t="s">
        <v>222</v>
      </c>
      <c r="D78" s="344" t="s">
        <v>93</v>
      </c>
      <c r="E78" s="350">
        <v>1</v>
      </c>
      <c r="S78" s="281"/>
      <c r="T78" s="281"/>
    </row>
    <row r="79" spans="3:25" ht="15.75" hidden="1" thickBot="1" x14ac:dyDescent="0.3">
      <c r="C79" s="351" t="s">
        <v>223</v>
      </c>
      <c r="D79" s="352" t="s">
        <v>93</v>
      </c>
      <c r="E79" s="353" t="e">
        <f>SUM(E68:E78)</f>
        <v>#REF!</v>
      </c>
      <c r="S79" s="281"/>
      <c r="T79" s="281"/>
    </row>
    <row r="80" spans="3:25" ht="12.75" hidden="1" customHeight="1" x14ac:dyDescent="0.25">
      <c r="S80" s="281"/>
      <c r="T80" s="281"/>
    </row>
    <row r="81" spans="3:20" hidden="1" x14ac:dyDescent="0.25">
      <c r="S81" s="281"/>
      <c r="T81" s="281"/>
    </row>
    <row r="82" spans="3:20" hidden="1" x14ac:dyDescent="0.25">
      <c r="S82" s="281"/>
      <c r="T82" s="281"/>
    </row>
    <row r="83" spans="3:20" hidden="1" x14ac:dyDescent="0.25">
      <c r="C83" s="228" t="s">
        <v>224</v>
      </c>
      <c r="S83" s="281"/>
      <c r="T83" s="281"/>
    </row>
    <row r="84" spans="3:20" hidden="1" x14ac:dyDescent="0.25">
      <c r="C84" s="228" t="s">
        <v>97</v>
      </c>
      <c r="S84" s="281"/>
      <c r="T84" s="281"/>
    </row>
    <row r="85" spans="3:20" hidden="1" x14ac:dyDescent="0.25">
      <c r="C85" s="228" t="s">
        <v>98</v>
      </c>
      <c r="S85" s="281"/>
      <c r="T85" s="281"/>
    </row>
    <row r="86" spans="3:20" hidden="1" x14ac:dyDescent="0.25">
      <c r="C86" s="228" t="s">
        <v>99</v>
      </c>
      <c r="S86" s="281"/>
      <c r="T86" s="281"/>
    </row>
    <row r="87" spans="3:20" x14ac:dyDescent="0.25">
      <c r="C87" s="354" t="s">
        <v>225</v>
      </c>
      <c r="S87" s="281"/>
      <c r="T87" s="281"/>
    </row>
    <row r="88" spans="3:20" x14ac:dyDescent="0.25">
      <c r="C88" s="354" t="s">
        <v>226</v>
      </c>
      <c r="S88" s="281"/>
      <c r="T88" s="281"/>
    </row>
    <row r="89" spans="3:20" x14ac:dyDescent="0.25">
      <c r="C89" s="354" t="s">
        <v>227</v>
      </c>
      <c r="F89" s="227"/>
      <c r="G89" s="227"/>
      <c r="S89" s="281"/>
      <c r="T89" s="281"/>
    </row>
    <row r="90" spans="3:20" ht="15.75" x14ac:dyDescent="0.25">
      <c r="C90" s="228" t="s">
        <v>228</v>
      </c>
      <c r="D90" s="310">
        <f>G51</f>
        <v>5354531.6085903952</v>
      </c>
      <c r="F90" s="227"/>
      <c r="G90" s="227"/>
      <c r="S90" s="281"/>
      <c r="T90" s="281"/>
    </row>
    <row r="91" spans="3:20" x14ac:dyDescent="0.25">
      <c r="S91" s="281"/>
      <c r="T91" s="281"/>
    </row>
    <row r="92" spans="3:20" x14ac:dyDescent="0.25">
      <c r="C92" s="228" t="s">
        <v>229</v>
      </c>
      <c r="S92" s="281"/>
      <c r="T92" s="281"/>
    </row>
    <row r="93" spans="3:20" x14ac:dyDescent="0.25">
      <c r="C93" s="228" t="s">
        <v>230</v>
      </c>
      <c r="D93" s="355">
        <v>35300</v>
      </c>
      <c r="S93" s="281"/>
      <c r="T93" s="281"/>
    </row>
    <row r="94" spans="3:20" x14ac:dyDescent="0.25">
      <c r="C94" s="228" t="s">
        <v>231</v>
      </c>
      <c r="D94" s="356">
        <f>D93*0.33*49.378</f>
        <v>575204.32200000004</v>
      </c>
      <c r="S94" s="281"/>
      <c r="T94" s="281"/>
    </row>
    <row r="95" spans="3:20" x14ac:dyDescent="0.25">
      <c r="S95" s="281"/>
      <c r="T95" s="281"/>
    </row>
    <row r="96" spans="3:20" x14ac:dyDescent="0.25">
      <c r="C96" s="228" t="s">
        <v>232</v>
      </c>
    </row>
    <row r="97" spans="2:25" s="225" customFormat="1" ht="12.75" customHeight="1" x14ac:dyDescent="0.25">
      <c r="B97" s="228"/>
      <c r="C97" s="228" t="s">
        <v>233</v>
      </c>
      <c r="D97" s="355">
        <v>12000</v>
      </c>
      <c r="E97" s="228"/>
      <c r="F97" s="228"/>
      <c r="G97" s="228"/>
      <c r="H97" s="228"/>
      <c r="I97" s="228"/>
      <c r="J97" s="228"/>
      <c r="K97" s="228"/>
      <c r="L97" s="228"/>
      <c r="M97" s="228"/>
      <c r="N97" s="228"/>
      <c r="O97" s="229"/>
      <c r="P97" s="228"/>
      <c r="Q97" s="228"/>
      <c r="R97" s="228"/>
      <c r="S97" s="228"/>
      <c r="T97" s="228"/>
      <c r="U97" s="228"/>
      <c r="V97" s="228"/>
      <c r="W97" s="228"/>
      <c r="X97" s="228"/>
      <c r="Y97" s="228"/>
    </row>
    <row r="98" spans="2:25" s="225" customFormat="1" ht="13.5" customHeight="1" x14ac:dyDescent="0.25">
      <c r="B98" s="228"/>
      <c r="C98" s="228" t="s">
        <v>234</v>
      </c>
      <c r="D98" s="356">
        <f>(D93-D97)/1</f>
        <v>23300</v>
      </c>
      <c r="E98" s="228"/>
      <c r="F98" s="228"/>
      <c r="G98" s="228"/>
      <c r="H98" s="228"/>
      <c r="I98" s="228"/>
      <c r="J98" s="228"/>
      <c r="K98" s="228"/>
      <c r="L98" s="228"/>
      <c r="M98" s="228"/>
      <c r="N98" s="228"/>
      <c r="O98" s="229"/>
      <c r="P98" s="228"/>
      <c r="Q98" s="228"/>
      <c r="R98" s="228"/>
      <c r="S98" s="228"/>
      <c r="T98" s="228"/>
      <c r="U98" s="228"/>
      <c r="V98" s="228"/>
      <c r="W98" s="228"/>
      <c r="X98" s="228"/>
      <c r="Y98" s="228"/>
    </row>
    <row r="99" spans="2:25" x14ac:dyDescent="0.25">
      <c r="C99" s="228" t="s">
        <v>231</v>
      </c>
      <c r="D99" s="356">
        <f>D98*0.27*49.378</f>
        <v>310636.99800000002</v>
      </c>
    </row>
    <row r="100" spans="2:25" x14ac:dyDescent="0.25">
      <c r="C100" s="228" t="s">
        <v>235</v>
      </c>
      <c r="D100" s="356">
        <f>D94-D99</f>
        <v>264567.32400000002</v>
      </c>
    </row>
    <row r="102" spans="2:25" x14ac:dyDescent="0.25">
      <c r="C102" s="228" t="s">
        <v>236</v>
      </c>
      <c r="D102" s="227">
        <f>G51/D100</f>
        <v>20.23882438554806</v>
      </c>
    </row>
  </sheetData>
  <mergeCells count="4">
    <mergeCell ref="O18:O19"/>
    <mergeCell ref="D70:D74"/>
    <mergeCell ref="E70:E74"/>
    <mergeCell ref="D76:D77"/>
  </mergeCells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08"/>
  <sheetViews>
    <sheetView topLeftCell="B1" zoomScale="85" zoomScaleNormal="85" workbookViewId="0">
      <pane xSplit="3" ySplit="4" topLeftCell="E80" activePane="bottomRight" state="frozen"/>
      <selection activeCell="B1" sqref="B1"/>
      <selection pane="topRight" activeCell="E1" sqref="E1"/>
      <selection pane="bottomLeft" activeCell="B5" sqref="B5"/>
      <selection pane="bottomRight" activeCell="J107" sqref="J107"/>
    </sheetView>
  </sheetViews>
  <sheetFormatPr defaultRowHeight="15" x14ac:dyDescent="0.25"/>
  <cols>
    <col min="1" max="1" width="3.42578125" customWidth="1"/>
    <col min="3" max="3" width="19.85546875" customWidth="1"/>
    <col min="4" max="4" width="89.85546875" customWidth="1"/>
    <col min="5" max="5" width="12" bestFit="1" customWidth="1"/>
    <col min="6" max="6" width="14.5703125" customWidth="1"/>
    <col min="7" max="7" width="20.85546875" customWidth="1"/>
    <col min="8" max="10" width="16" customWidth="1"/>
    <col min="11" max="11" width="17" customWidth="1"/>
    <col min="12" max="12" width="20.42578125" customWidth="1"/>
    <col min="13" max="16" width="15" customWidth="1"/>
  </cols>
  <sheetData>
    <row r="1" spans="2:16" x14ac:dyDescent="0.25">
      <c r="M1" t="s">
        <v>462</v>
      </c>
      <c r="N1" t="s">
        <v>463</v>
      </c>
      <c r="O1" t="s">
        <v>464</v>
      </c>
    </row>
    <row r="2" spans="2:16" x14ac:dyDescent="0.25">
      <c r="K2" s="565" t="s">
        <v>479</v>
      </c>
      <c r="L2" s="565"/>
      <c r="M2" s="455"/>
      <c r="N2" s="447"/>
      <c r="O2" s="447"/>
    </row>
    <row r="3" spans="2:16" x14ac:dyDescent="0.25">
      <c r="K3" s="565" t="s">
        <v>465</v>
      </c>
      <c r="L3" s="565"/>
      <c r="M3" s="455"/>
      <c r="N3" s="447"/>
      <c r="O3" s="447"/>
    </row>
    <row r="4" spans="2:16" x14ac:dyDescent="0.25">
      <c r="K4" s="565" t="s">
        <v>466</v>
      </c>
      <c r="L4" s="565"/>
      <c r="M4" s="447"/>
      <c r="N4" s="447"/>
      <c r="O4" s="447"/>
    </row>
    <row r="5" spans="2:16" x14ac:dyDescent="0.25">
      <c r="B5" s="24"/>
      <c r="C5" s="24"/>
      <c r="D5" s="24"/>
      <c r="E5" s="24"/>
      <c r="F5" s="24"/>
      <c r="G5" s="33"/>
      <c r="H5" s="24"/>
      <c r="I5" s="24"/>
      <c r="J5" s="24"/>
      <c r="K5" s="565" t="s">
        <v>477</v>
      </c>
      <c r="L5" s="565"/>
      <c r="M5" s="447"/>
      <c r="N5" s="447"/>
      <c r="O5" s="447"/>
      <c r="P5" s="24"/>
    </row>
    <row r="6" spans="2:16" ht="15.75" thickBot="1" x14ac:dyDescent="0.3">
      <c r="B6" s="24"/>
      <c r="C6" s="24"/>
      <c r="D6" s="34" t="s">
        <v>244</v>
      </c>
      <c r="E6" s="34">
        <f>F8*0.28</f>
        <v>3.3600000000000003</v>
      </c>
      <c r="F6" s="34" t="s">
        <v>64</v>
      </c>
      <c r="G6" s="27"/>
      <c r="H6" s="35"/>
      <c r="I6" s="35"/>
      <c r="J6" s="35"/>
      <c r="K6" s="27"/>
      <c r="L6" s="27"/>
      <c r="M6" s="440"/>
      <c r="N6" s="440"/>
      <c r="O6" s="440"/>
      <c r="P6" s="27"/>
    </row>
    <row r="7" spans="2:16" ht="57.75" customHeight="1" thickBot="1" x14ac:dyDescent="0.3">
      <c r="B7" s="458" t="s">
        <v>33</v>
      </c>
      <c r="C7" s="459"/>
      <c r="D7" s="38" t="s">
        <v>0</v>
      </c>
      <c r="E7" s="39" t="s">
        <v>68</v>
      </c>
      <c r="F7" s="40" t="s">
        <v>69</v>
      </c>
      <c r="G7" s="41" t="s">
        <v>70</v>
      </c>
      <c r="H7" s="41" t="s">
        <v>467</v>
      </c>
      <c r="I7" s="41" t="s">
        <v>468</v>
      </c>
      <c r="J7" s="41" t="s">
        <v>469</v>
      </c>
      <c r="K7" s="41" t="s">
        <v>459</v>
      </c>
      <c r="L7" s="41" t="s">
        <v>470</v>
      </c>
      <c r="M7" s="41" t="s">
        <v>471</v>
      </c>
      <c r="N7" s="41" t="s">
        <v>472</v>
      </c>
      <c r="O7" s="43" t="s">
        <v>473</v>
      </c>
      <c r="P7" s="436"/>
    </row>
    <row r="8" spans="2:16" x14ac:dyDescent="0.25">
      <c r="B8" s="48">
        <v>1</v>
      </c>
      <c r="C8" s="452" t="e">
        <f>VLOOKUP(D8,'ПРАЙС ЮСТ'!B:C,15,0)</f>
        <v>#N/A</v>
      </c>
      <c r="D8" s="47" t="s">
        <v>498</v>
      </c>
      <c r="E8" s="48" t="s">
        <v>75</v>
      </c>
      <c r="F8" s="49">
        <v>12</v>
      </c>
      <c r="G8" s="448" t="e">
        <f>(K8*(1-N2))*0.87</f>
        <v>#N/A</v>
      </c>
      <c r="H8" s="448" t="e">
        <f>G8*F8</f>
        <v>#N/A</v>
      </c>
      <c r="I8" s="448" t="e">
        <f>F8*G8</f>
        <v>#N/A</v>
      </c>
      <c r="J8" s="448" t="e">
        <f>F8*G8</f>
        <v>#N/A</v>
      </c>
      <c r="K8" s="448" t="e">
        <f>VLOOKUP(C8,'ПРАЙС ЮСТ'!B:C,14,0)</f>
        <v>#N/A</v>
      </c>
      <c r="L8" s="448" t="e">
        <f>K8*F8</f>
        <v>#N/A</v>
      </c>
      <c r="M8" s="448" t="e">
        <f>L8*(1-$M$2)</f>
        <v>#N/A</v>
      </c>
      <c r="N8" s="448" t="e">
        <f>L8*(1-$N$2)</f>
        <v>#N/A</v>
      </c>
      <c r="O8" s="448" t="e">
        <f>L8*(1-$O$2)</f>
        <v>#N/A</v>
      </c>
      <c r="P8" s="438"/>
    </row>
    <row r="9" spans="2:16" x14ac:dyDescent="0.25">
      <c r="B9" s="46">
        <v>2</v>
      </c>
      <c r="C9" s="452" t="e">
        <f>VLOOKUP(D9,'ПРАЙС ЮСТ'!B:C,15,0)</f>
        <v>#N/A</v>
      </c>
      <c r="D9" s="47" t="s">
        <v>364</v>
      </c>
      <c r="E9" s="48" t="s">
        <v>75</v>
      </c>
      <c r="F9" s="49">
        <v>1</v>
      </c>
      <c r="G9" s="448" t="e">
        <f>VLOOKUP(C9,'ПРАЙС ЮСТ'!B:B,4,0)</f>
        <v>#N/A</v>
      </c>
      <c r="H9" s="448" t="e">
        <f>G9*F9</f>
        <v>#N/A</v>
      </c>
      <c r="I9" s="448" t="e">
        <f t="shared" ref="I9:I17" si="0">F9*G9</f>
        <v>#N/A</v>
      </c>
      <c r="J9" s="448" t="e">
        <f t="shared" ref="J9:J18" si="1">F9*G9</f>
        <v>#N/A</v>
      </c>
      <c r="K9" s="448" t="e">
        <f>VLOOKUP(C9,'ПРАЙС ЮСТ'!B:C,14,0)</f>
        <v>#N/A</v>
      </c>
      <c r="L9" s="448" t="e">
        <f t="shared" ref="L9:L18" si="2">K9*F9</f>
        <v>#N/A</v>
      </c>
      <c r="M9" s="448" t="e">
        <f>L9*(1-$M$3)</f>
        <v>#N/A</v>
      </c>
      <c r="N9" s="448" t="e">
        <f>L9*(1-$N$3)</f>
        <v>#N/A</v>
      </c>
      <c r="O9" s="448" t="e">
        <f>L9*(1-$O$3)</f>
        <v>#N/A</v>
      </c>
      <c r="P9" s="438"/>
    </row>
    <row r="10" spans="2:16" x14ac:dyDescent="0.25">
      <c r="B10" s="46">
        <v>3</v>
      </c>
      <c r="C10" s="452" t="e">
        <f>VLOOKUP(D10,'ПРАЙС ЮСТ'!B:C,15,0)</f>
        <v>#REF!</v>
      </c>
      <c r="D10" s="47" t="s">
        <v>331</v>
      </c>
      <c r="E10" s="48" t="s">
        <v>75</v>
      </c>
      <c r="F10" s="49">
        <v>1</v>
      </c>
      <c r="G10" s="448" t="e">
        <f>VLOOKUP(C10,'ПРАЙС ЮСТ'!B:B,4,0)</f>
        <v>#REF!</v>
      </c>
      <c r="H10" s="448"/>
      <c r="I10" s="448" t="e">
        <f t="shared" si="0"/>
        <v>#REF!</v>
      </c>
      <c r="J10" s="448" t="e">
        <f t="shared" si="1"/>
        <v>#REF!</v>
      </c>
      <c r="K10" s="448" t="e">
        <f>VLOOKUP(C10,'ПРАЙС ЮСТ'!B:C,14,0)</f>
        <v>#REF!</v>
      </c>
      <c r="L10" s="448" t="e">
        <f t="shared" si="2"/>
        <v>#REF!</v>
      </c>
      <c r="M10" s="448"/>
      <c r="N10" s="448" t="e">
        <f t="shared" ref="N10:N17" si="3">L10*(1-$N$3)</f>
        <v>#REF!</v>
      </c>
      <c r="O10" s="448" t="e">
        <f t="shared" ref="O10:O17" si="4">L10*(1-$O$3)</f>
        <v>#REF!</v>
      </c>
      <c r="P10" s="438"/>
    </row>
    <row r="11" spans="2:16" x14ac:dyDescent="0.25">
      <c r="B11" s="48">
        <v>4</v>
      </c>
      <c r="C11" s="452" t="e">
        <f>VLOOKUP(D11,'ПРАЙС ЮСТ'!B:C,15,0)</f>
        <v>#REF!</v>
      </c>
      <c r="D11" s="47" t="s">
        <v>335</v>
      </c>
      <c r="E11" s="48" t="s">
        <v>78</v>
      </c>
      <c r="F11" s="49">
        <v>25</v>
      </c>
      <c r="G11" s="448" t="e">
        <f>VLOOKUP(C11,'ПРАЙС ЮСТ'!B:B,4,0)</f>
        <v>#REF!</v>
      </c>
      <c r="H11" s="448"/>
      <c r="I11" s="448" t="e">
        <f t="shared" si="0"/>
        <v>#REF!</v>
      </c>
      <c r="J11" s="448" t="e">
        <f t="shared" si="1"/>
        <v>#REF!</v>
      </c>
      <c r="K11" s="448" t="e">
        <f>VLOOKUP(C11,'ПРАЙС ЮСТ'!B:C,14,0)</f>
        <v>#REF!</v>
      </c>
      <c r="L11" s="448" t="e">
        <f t="shared" si="2"/>
        <v>#REF!</v>
      </c>
      <c r="M11" s="448"/>
      <c r="N11" s="448" t="e">
        <f t="shared" si="3"/>
        <v>#REF!</v>
      </c>
      <c r="O11" s="448" t="e">
        <f t="shared" si="4"/>
        <v>#REF!</v>
      </c>
      <c r="P11" s="438"/>
    </row>
    <row r="12" spans="2:16" x14ac:dyDescent="0.25">
      <c r="B12" s="46">
        <v>5</v>
      </c>
      <c r="C12" s="452" t="e">
        <f>VLOOKUP(D12,'ПРАЙС ЮСТ'!B:C,15,0)</f>
        <v>#REF!</v>
      </c>
      <c r="D12" s="47" t="s">
        <v>336</v>
      </c>
      <c r="E12" s="48" t="s">
        <v>78</v>
      </c>
      <c r="F12" s="49">
        <v>25</v>
      </c>
      <c r="G12" s="448" t="e">
        <f>VLOOKUP(C12,'ПРАЙС ЮСТ'!B:B,4,0)</f>
        <v>#REF!</v>
      </c>
      <c r="H12" s="448"/>
      <c r="I12" s="448" t="e">
        <f t="shared" si="0"/>
        <v>#REF!</v>
      </c>
      <c r="J12" s="448" t="e">
        <f t="shared" si="1"/>
        <v>#REF!</v>
      </c>
      <c r="K12" s="448" t="e">
        <f>VLOOKUP(C12,'ПРАЙС ЮСТ'!B:C,14,0)</f>
        <v>#REF!</v>
      </c>
      <c r="L12" s="448" t="e">
        <f t="shared" si="2"/>
        <v>#REF!</v>
      </c>
      <c r="M12" s="448"/>
      <c r="N12" s="448" t="e">
        <f t="shared" si="3"/>
        <v>#REF!</v>
      </c>
      <c r="O12" s="448" t="e">
        <f t="shared" si="4"/>
        <v>#REF!</v>
      </c>
      <c r="P12" s="438"/>
    </row>
    <row r="13" spans="2:16" x14ac:dyDescent="0.25">
      <c r="B13" s="46">
        <v>6</v>
      </c>
      <c r="C13" s="452" t="e">
        <f>VLOOKUP(D13,'ПРАЙС ЮСТ'!B:C,15,0)</f>
        <v>#REF!</v>
      </c>
      <c r="D13" s="423" t="s">
        <v>443</v>
      </c>
      <c r="E13" s="424" t="s">
        <v>75</v>
      </c>
      <c r="F13" s="425">
        <v>3</v>
      </c>
      <c r="G13" s="448" t="e">
        <f>VLOOKUP(C13,'ПРАЙС ЮСТ'!B:B,4,0)</f>
        <v>#REF!</v>
      </c>
      <c r="H13" s="448"/>
      <c r="I13" s="448" t="e">
        <f t="shared" si="0"/>
        <v>#REF!</v>
      </c>
      <c r="J13" s="448" t="e">
        <f t="shared" si="1"/>
        <v>#REF!</v>
      </c>
      <c r="K13" s="448" t="e">
        <f>VLOOKUP(C13,'ПРАЙС ЮСТ'!B:C,14,0)</f>
        <v>#REF!</v>
      </c>
      <c r="L13" s="448" t="e">
        <f t="shared" si="2"/>
        <v>#REF!</v>
      </c>
      <c r="M13" s="448"/>
      <c r="N13" s="448" t="e">
        <f t="shared" si="3"/>
        <v>#REF!</v>
      </c>
      <c r="O13" s="448" t="e">
        <f t="shared" si="4"/>
        <v>#REF!</v>
      </c>
      <c r="P13" s="439"/>
    </row>
    <row r="14" spans="2:16" x14ac:dyDescent="0.25">
      <c r="B14" s="48">
        <v>7</v>
      </c>
      <c r="C14" s="452" t="e">
        <f>VLOOKUP(D14,'ПРАЙС ЮСТ'!B:C,15,0)</f>
        <v>#REF!</v>
      </c>
      <c r="D14" s="423" t="s">
        <v>442</v>
      </c>
      <c r="E14" s="424" t="s">
        <v>75</v>
      </c>
      <c r="F14" s="425">
        <v>3</v>
      </c>
      <c r="G14" s="448" t="e">
        <f>VLOOKUP(C14,'ПРАЙС ЮСТ'!B:B,4,0)</f>
        <v>#REF!</v>
      </c>
      <c r="H14" s="448"/>
      <c r="I14" s="448" t="e">
        <f t="shared" si="0"/>
        <v>#REF!</v>
      </c>
      <c r="J14" s="448" t="e">
        <f t="shared" si="1"/>
        <v>#REF!</v>
      </c>
      <c r="K14" s="448" t="e">
        <f>VLOOKUP(C14,'ПРАЙС ЮСТ'!B:C,14,0)</f>
        <v>#REF!</v>
      </c>
      <c r="L14" s="448" t="e">
        <f t="shared" si="2"/>
        <v>#REF!</v>
      </c>
      <c r="M14" s="448"/>
      <c r="N14" s="448" t="e">
        <f t="shared" si="3"/>
        <v>#REF!</v>
      </c>
      <c r="O14" s="448" t="e">
        <f t="shared" si="4"/>
        <v>#REF!</v>
      </c>
      <c r="P14" s="439"/>
    </row>
    <row r="15" spans="2:16" x14ac:dyDescent="0.25">
      <c r="B15" s="46">
        <v>8</v>
      </c>
      <c r="C15" s="452" t="e">
        <f>VLOOKUP(D15,'ПРАЙС ЮСТ'!B:C,15,0)</f>
        <v>#REF!</v>
      </c>
      <c r="D15" s="47" t="s">
        <v>350</v>
      </c>
      <c r="E15" s="48" t="s">
        <v>78</v>
      </c>
      <c r="F15" s="49">
        <v>1</v>
      </c>
      <c r="G15" s="448" t="e">
        <f>VLOOKUP(C15,'ПРАЙС ЮСТ'!B:B,4,0)</f>
        <v>#REF!</v>
      </c>
      <c r="H15" s="448"/>
      <c r="I15" s="448" t="e">
        <f t="shared" si="0"/>
        <v>#REF!</v>
      </c>
      <c r="J15" s="448" t="e">
        <f t="shared" si="1"/>
        <v>#REF!</v>
      </c>
      <c r="K15" s="448" t="e">
        <f>VLOOKUP(C15,'ПРАЙС ЮСТ'!B:C,14,0)</f>
        <v>#REF!</v>
      </c>
      <c r="L15" s="448" t="e">
        <f t="shared" si="2"/>
        <v>#REF!</v>
      </c>
      <c r="M15" s="448"/>
      <c r="N15" s="448" t="e">
        <f t="shared" si="3"/>
        <v>#REF!</v>
      </c>
      <c r="O15" s="448" t="e">
        <f t="shared" si="4"/>
        <v>#REF!</v>
      </c>
      <c r="P15" s="438"/>
    </row>
    <row r="16" spans="2:16" x14ac:dyDescent="0.25">
      <c r="B16" s="46">
        <v>9</v>
      </c>
      <c r="C16" s="452" t="e">
        <f>VLOOKUP(D16,'ПРАЙС ЮСТ'!B:C,15,0)</f>
        <v>#REF!</v>
      </c>
      <c r="D16" s="47" t="s">
        <v>446</v>
      </c>
      <c r="E16" s="48" t="s">
        <v>75</v>
      </c>
      <c r="F16" s="49">
        <v>1</v>
      </c>
      <c r="G16" s="448" t="e">
        <f>VLOOKUP(C16,'ПРАЙС ЮСТ'!B:B,4,0)</f>
        <v>#REF!</v>
      </c>
      <c r="H16" s="448"/>
      <c r="I16" s="448" t="e">
        <f t="shared" si="0"/>
        <v>#REF!</v>
      </c>
      <c r="J16" s="448" t="e">
        <f t="shared" si="1"/>
        <v>#REF!</v>
      </c>
      <c r="K16" s="448" t="e">
        <f>VLOOKUP(C16,'ПРАЙС ЮСТ'!B:C,14,0)</f>
        <v>#REF!</v>
      </c>
      <c r="L16" s="448" t="e">
        <f t="shared" si="2"/>
        <v>#REF!</v>
      </c>
      <c r="M16" s="448"/>
      <c r="N16" s="448" t="e">
        <f t="shared" si="3"/>
        <v>#REF!</v>
      </c>
      <c r="O16" s="448" t="e">
        <f t="shared" si="4"/>
        <v>#REF!</v>
      </c>
      <c r="P16" s="438"/>
    </row>
    <row r="17" spans="1:16" x14ac:dyDescent="0.25">
      <c r="B17" s="48">
        <v>10</v>
      </c>
      <c r="C17" s="452" t="e">
        <f>VLOOKUP(D17,'ПРАЙС ЮСТ'!B:C,15,0)</f>
        <v>#REF!</v>
      </c>
      <c r="D17" s="47" t="s">
        <v>447</v>
      </c>
      <c r="E17" s="48" t="s">
        <v>75</v>
      </c>
      <c r="F17" s="49">
        <v>1</v>
      </c>
      <c r="G17" s="448" t="e">
        <f>VLOOKUP(C17,'ПРАЙС ЮСТ'!B:B,4,0)</f>
        <v>#REF!</v>
      </c>
      <c r="H17" s="448"/>
      <c r="I17" s="448" t="e">
        <f t="shared" si="0"/>
        <v>#REF!</v>
      </c>
      <c r="J17" s="448" t="e">
        <f t="shared" si="1"/>
        <v>#REF!</v>
      </c>
      <c r="K17" s="448" t="e">
        <f>VLOOKUP(C17,'ПРАЙС ЮСТ'!B:C,14,0)</f>
        <v>#REF!</v>
      </c>
      <c r="L17" s="448" t="e">
        <f t="shared" si="2"/>
        <v>#REF!</v>
      </c>
      <c r="M17" s="448"/>
      <c r="N17" s="448" t="e">
        <f t="shared" si="3"/>
        <v>#REF!</v>
      </c>
      <c r="O17" s="448" t="e">
        <f t="shared" si="4"/>
        <v>#REF!</v>
      </c>
      <c r="P17" s="438"/>
    </row>
    <row r="18" spans="1:16" x14ac:dyDescent="0.25">
      <c r="B18" s="46">
        <v>11</v>
      </c>
      <c r="C18" s="452" t="e">
        <f>VLOOKUP(D18,'ПРАЙС ЮСТ'!B:C,15,0)</f>
        <v>#N/A</v>
      </c>
      <c r="D18" s="47" t="s">
        <v>461</v>
      </c>
      <c r="E18" s="48" t="s">
        <v>75</v>
      </c>
      <c r="F18" s="49">
        <v>10</v>
      </c>
      <c r="G18" s="448" t="e">
        <f>VLOOKUP(C18,'ПРАЙС ЮСТ'!B:B,4,0)</f>
        <v>#N/A</v>
      </c>
      <c r="H18" s="448"/>
      <c r="I18" s="448"/>
      <c r="J18" s="448" t="e">
        <f t="shared" si="1"/>
        <v>#N/A</v>
      </c>
      <c r="K18" s="448" t="e">
        <f>VLOOKUP(C18,'ПРАЙС ЮСТ'!B:C,14,0)</f>
        <v>#N/A</v>
      </c>
      <c r="L18" s="448" t="e">
        <f t="shared" si="2"/>
        <v>#N/A</v>
      </c>
      <c r="M18" s="448"/>
      <c r="N18" s="448"/>
      <c r="O18" s="448" t="e">
        <f>L18*(1-$O$4)</f>
        <v>#N/A</v>
      </c>
      <c r="P18" s="438"/>
    </row>
    <row r="19" spans="1:16" x14ac:dyDescent="0.25">
      <c r="B19" s="46">
        <v>12</v>
      </c>
      <c r="C19" s="453"/>
      <c r="D19" s="47" t="s">
        <v>474</v>
      </c>
      <c r="E19" s="48" t="s">
        <v>75</v>
      </c>
      <c r="F19" s="55">
        <v>1</v>
      </c>
      <c r="G19" s="449">
        <f>1734/1.2</f>
        <v>1445</v>
      </c>
      <c r="H19" s="448">
        <f>$G19*F19</f>
        <v>1445</v>
      </c>
      <c r="I19" s="448">
        <f>G19*F19</f>
        <v>1445</v>
      </c>
      <c r="J19" s="448">
        <f>F19*G19</f>
        <v>1445</v>
      </c>
      <c r="K19" s="450"/>
      <c r="L19" s="448">
        <f>G19*F19</f>
        <v>1445</v>
      </c>
      <c r="M19" s="450"/>
      <c r="N19" s="450"/>
      <c r="O19" s="450">
        <f>L19</f>
        <v>1445</v>
      </c>
      <c r="P19" s="24"/>
    </row>
    <row r="20" spans="1:16" x14ac:dyDescent="0.25">
      <c r="A20" s="24"/>
      <c r="B20" s="24"/>
      <c r="C20" s="24"/>
      <c r="D20" s="377" t="s">
        <v>460</v>
      </c>
      <c r="E20" s="46"/>
      <c r="F20" s="79"/>
      <c r="G20" s="69"/>
      <c r="H20" s="437" t="e">
        <f>SUM(H8:H19)</f>
        <v>#N/A</v>
      </c>
      <c r="I20" s="437" t="e">
        <f>SUM(I8:I19)</f>
        <v>#N/A</v>
      </c>
      <c r="J20" s="437" t="e">
        <f>SUM(J8:J19)</f>
        <v>#N/A</v>
      </c>
      <c r="K20" s="437"/>
      <c r="L20" s="437"/>
      <c r="M20" s="437" t="e">
        <f>SUM(M8:M19)</f>
        <v>#N/A</v>
      </c>
      <c r="N20" s="437" t="e">
        <f>SUM(N8:N19)</f>
        <v>#N/A</v>
      </c>
      <c r="O20" s="437" t="e">
        <f>SUM(O8:O19)</f>
        <v>#N/A</v>
      </c>
      <c r="P20" s="419"/>
    </row>
    <row r="21" spans="1:16" x14ac:dyDescent="0.25">
      <c r="A21" s="24"/>
      <c r="B21" s="24"/>
      <c r="C21" s="24"/>
      <c r="D21" s="106"/>
      <c r="E21" s="24"/>
      <c r="F21" s="24"/>
      <c r="K21" s="24"/>
      <c r="L21" s="24"/>
      <c r="M21" s="24"/>
      <c r="N21" s="24"/>
      <c r="O21" s="24"/>
      <c r="P21" s="24"/>
    </row>
    <row r="22" spans="1:16" x14ac:dyDescent="0.25">
      <c r="A22" s="24"/>
      <c r="B22" s="24"/>
      <c r="C22" s="24"/>
      <c r="F22" s="24"/>
      <c r="K22" t="s">
        <v>478</v>
      </c>
      <c r="M22" s="456" t="e">
        <f>ROUND(M20*1.2,-2)-10</f>
        <v>#N/A</v>
      </c>
      <c r="N22" s="456" t="e">
        <f>ROUND(N20*1.2,-2)-10</f>
        <v>#N/A</v>
      </c>
      <c r="O22" s="456" t="e">
        <f>ROUND(O20*1.2,-2)-10</f>
        <v>#N/A</v>
      </c>
      <c r="P22" s="24"/>
    </row>
    <row r="23" spans="1:16" x14ac:dyDescent="0.25">
      <c r="A23" s="24"/>
      <c r="B23" s="24"/>
      <c r="C23" s="24"/>
      <c r="F23" s="24"/>
      <c r="K23" t="s">
        <v>499</v>
      </c>
      <c r="M23" s="457"/>
      <c r="N23" s="457">
        <v>215000</v>
      </c>
      <c r="O23" s="457"/>
      <c r="P23" s="24"/>
    </row>
    <row r="24" spans="1:16" x14ac:dyDescent="0.25">
      <c r="A24" s="24"/>
      <c r="B24" s="24"/>
      <c r="C24" s="24"/>
      <c r="F24" s="24"/>
      <c r="K24" s="24" t="s">
        <v>475</v>
      </c>
      <c r="M24" s="475" t="e">
        <f>(M20-H20)/M20</f>
        <v>#N/A</v>
      </c>
      <c r="N24" s="475" t="e">
        <f>(N20-I20)/N20</f>
        <v>#N/A</v>
      </c>
      <c r="O24" s="475" t="e">
        <f>(O20-J20)/O20</f>
        <v>#N/A</v>
      </c>
      <c r="P24" s="24"/>
    </row>
    <row r="25" spans="1:16" x14ac:dyDescent="0.25">
      <c r="A25" s="24"/>
      <c r="B25" s="24"/>
      <c r="C25" s="24"/>
      <c r="F25" s="24"/>
      <c r="K25" s="24"/>
      <c r="L25" s="24"/>
      <c r="M25" s="24"/>
      <c r="N25" s="24"/>
      <c r="O25" s="24"/>
      <c r="P25" s="24"/>
    </row>
    <row r="28" spans="1:16" ht="15.75" thickBot="1" x14ac:dyDescent="0.3">
      <c r="B28" s="24"/>
      <c r="C28" s="24"/>
      <c r="D28" s="34" t="s">
        <v>245</v>
      </c>
      <c r="E28" s="34">
        <f>F30*0.28</f>
        <v>5.0400000000000009</v>
      </c>
      <c r="F28" s="34" t="s">
        <v>64</v>
      </c>
      <c r="G28" s="27"/>
      <c r="H28" s="35"/>
      <c r="I28" s="35"/>
      <c r="J28" s="35"/>
      <c r="K28" s="27"/>
      <c r="L28" s="27"/>
      <c r="M28" s="440"/>
      <c r="N28" s="440"/>
      <c r="O28" s="440"/>
    </row>
    <row r="29" spans="1:16" ht="45.75" thickBot="1" x14ac:dyDescent="0.3">
      <c r="B29" s="458" t="s">
        <v>33</v>
      </c>
      <c r="C29" s="459"/>
      <c r="D29" s="38" t="s">
        <v>0</v>
      </c>
      <c r="E29" s="39" t="s">
        <v>68</v>
      </c>
      <c r="F29" s="40" t="s">
        <v>69</v>
      </c>
      <c r="G29" s="41" t="s">
        <v>70</v>
      </c>
      <c r="H29" s="41" t="s">
        <v>467</v>
      </c>
      <c r="I29" s="41" t="s">
        <v>468</v>
      </c>
      <c r="J29" s="41" t="s">
        <v>469</v>
      </c>
      <c r="K29" s="41" t="s">
        <v>459</v>
      </c>
      <c r="L29" s="41" t="s">
        <v>470</v>
      </c>
      <c r="M29" s="41" t="s">
        <v>471</v>
      </c>
      <c r="N29" s="41" t="s">
        <v>472</v>
      </c>
      <c r="O29" s="43" t="s">
        <v>473</v>
      </c>
    </row>
    <row r="30" spans="1:16" x14ac:dyDescent="0.25">
      <c r="B30" s="48">
        <v>1</v>
      </c>
      <c r="C30" s="452" t="e">
        <f>VLOOKUP(D30,'ПРАЙС ЮСТ'!B:C,15,0)</f>
        <v>#N/A</v>
      </c>
      <c r="D30" s="47" t="s">
        <v>498</v>
      </c>
      <c r="E30" s="48" t="s">
        <v>75</v>
      </c>
      <c r="F30" s="49">
        <v>18</v>
      </c>
      <c r="G30" s="448" t="e">
        <f>(K30*(1-N2))*0.87</f>
        <v>#N/A</v>
      </c>
      <c r="H30" s="448" t="e">
        <f>G30*F30</f>
        <v>#N/A</v>
      </c>
      <c r="I30" s="448" t="e">
        <f>F30*G30</f>
        <v>#N/A</v>
      </c>
      <c r="J30" s="448" t="e">
        <f>F30*G30</f>
        <v>#N/A</v>
      </c>
      <c r="K30" s="448" t="e">
        <f>VLOOKUP(C30,'ПРАЙС ЮСТ'!B:C,14,0)</f>
        <v>#N/A</v>
      </c>
      <c r="L30" s="448" t="e">
        <f>K30*F30</f>
        <v>#N/A</v>
      </c>
      <c r="M30" s="448" t="e">
        <f>L30*(1-$M$2)</f>
        <v>#N/A</v>
      </c>
      <c r="N30" s="448" t="e">
        <f>L30*(1-N2)</f>
        <v>#N/A</v>
      </c>
      <c r="O30" s="448" t="e">
        <f>L30*(1-$O$2)</f>
        <v>#N/A</v>
      </c>
      <c r="P30" s="438"/>
    </row>
    <row r="31" spans="1:16" x14ac:dyDescent="0.25">
      <c r="B31" s="46">
        <v>2</v>
      </c>
      <c r="C31" s="452" t="e">
        <f>VLOOKUP(D31,'ПРАЙС ЮСТ'!B:C,15,0)</f>
        <v>#REF!</v>
      </c>
      <c r="D31" s="47" t="s">
        <v>365</v>
      </c>
      <c r="E31" s="48" t="s">
        <v>75</v>
      </c>
      <c r="F31" s="49">
        <v>1</v>
      </c>
      <c r="G31" s="448" t="e">
        <f>VLOOKUP(C31,'ПРАЙС ЮСТ'!B:B,4,0)</f>
        <v>#REF!</v>
      </c>
      <c r="H31" s="448" t="e">
        <f>G31*F31</f>
        <v>#REF!</v>
      </c>
      <c r="I31" s="448" t="e">
        <f t="shared" ref="I31:I37" si="5">F31*G31</f>
        <v>#REF!</v>
      </c>
      <c r="J31" s="448" t="e">
        <f t="shared" ref="J31:J38" si="6">F31*G31</f>
        <v>#REF!</v>
      </c>
      <c r="K31" s="448" t="e">
        <f>VLOOKUP(C31,'ПРАЙС ЮСТ'!B:C,14,0)</f>
        <v>#REF!</v>
      </c>
      <c r="L31" s="448" t="e">
        <f t="shared" ref="L31:L38" si="7">K31*F31</f>
        <v>#REF!</v>
      </c>
      <c r="M31" s="460" t="e">
        <f>L31*(1-$M$2)</f>
        <v>#REF!</v>
      </c>
      <c r="N31" s="460" t="e">
        <f t="shared" ref="N31:N37" si="8">L31*(1-$N$2)</f>
        <v>#REF!</v>
      </c>
      <c r="O31" s="460" t="e">
        <f t="shared" ref="O31:O37" si="9">L31*(1-$O$2)</f>
        <v>#REF!</v>
      </c>
    </row>
    <row r="32" spans="1:16" x14ac:dyDescent="0.25">
      <c r="B32" s="46">
        <v>3</v>
      </c>
      <c r="C32" s="452" t="e">
        <f>VLOOKUP(D32,'ПРАЙС ЮСТ'!B:C,15,0)</f>
        <v>#REF!</v>
      </c>
      <c r="D32" s="47" t="s">
        <v>332</v>
      </c>
      <c r="E32" s="48" t="s">
        <v>75</v>
      </c>
      <c r="F32" s="48">
        <v>1</v>
      </c>
      <c r="G32" s="448" t="e">
        <f>VLOOKUP(C32,'ПРАЙС ЮСТ'!B:B,4,0)</f>
        <v>#REF!</v>
      </c>
      <c r="H32" s="448"/>
      <c r="I32" s="448" t="e">
        <f t="shared" si="5"/>
        <v>#REF!</v>
      </c>
      <c r="J32" s="448" t="e">
        <f t="shared" si="6"/>
        <v>#REF!</v>
      </c>
      <c r="K32" s="448" t="e">
        <f>VLOOKUP(C32,'ПРАЙС ЮСТ'!B:C,14,0)</f>
        <v>#REF!</v>
      </c>
      <c r="L32" s="448" t="e">
        <f t="shared" si="7"/>
        <v>#REF!</v>
      </c>
      <c r="M32" s="460"/>
      <c r="N32" s="460" t="e">
        <f t="shared" si="8"/>
        <v>#REF!</v>
      </c>
      <c r="O32" s="460" t="e">
        <f t="shared" si="9"/>
        <v>#REF!</v>
      </c>
    </row>
    <row r="33" spans="1:15" x14ac:dyDescent="0.25">
      <c r="B33" s="46">
        <v>4</v>
      </c>
      <c r="C33" s="452" t="e">
        <f>VLOOKUP(D33,'ПРАЙС ЮСТ'!B:C,15,0)</f>
        <v>#REF!</v>
      </c>
      <c r="D33" s="47" t="s">
        <v>335</v>
      </c>
      <c r="E33" s="48" t="s">
        <v>78</v>
      </c>
      <c r="F33" s="48">
        <v>25</v>
      </c>
      <c r="G33" s="448" t="e">
        <f>VLOOKUP(C33,'ПРАЙС ЮСТ'!B:B,4,0)</f>
        <v>#REF!</v>
      </c>
      <c r="H33" s="448"/>
      <c r="I33" s="448" t="e">
        <f t="shared" si="5"/>
        <v>#REF!</v>
      </c>
      <c r="J33" s="448" t="e">
        <f t="shared" si="6"/>
        <v>#REF!</v>
      </c>
      <c r="K33" s="448" t="e">
        <f>VLOOKUP(C33,'ПРАЙС ЮСТ'!B:C,14,0)</f>
        <v>#REF!</v>
      </c>
      <c r="L33" s="448" t="e">
        <f t="shared" si="7"/>
        <v>#REF!</v>
      </c>
      <c r="M33" s="460"/>
      <c r="N33" s="460" t="e">
        <f t="shared" si="8"/>
        <v>#REF!</v>
      </c>
      <c r="O33" s="460" t="e">
        <f t="shared" si="9"/>
        <v>#REF!</v>
      </c>
    </row>
    <row r="34" spans="1:15" x14ac:dyDescent="0.25">
      <c r="B34" s="46">
        <v>5</v>
      </c>
      <c r="C34" s="452" t="e">
        <f>VLOOKUP(D34,'ПРАЙС ЮСТ'!B:C,15,0)</f>
        <v>#REF!</v>
      </c>
      <c r="D34" s="47" t="s">
        <v>336</v>
      </c>
      <c r="E34" s="48" t="s">
        <v>78</v>
      </c>
      <c r="F34" s="48">
        <v>25</v>
      </c>
      <c r="G34" s="448" t="e">
        <f>VLOOKUP(C34,'ПРАЙС ЮСТ'!B:B,4,0)</f>
        <v>#REF!</v>
      </c>
      <c r="H34" s="448"/>
      <c r="I34" s="448" t="e">
        <f t="shared" si="5"/>
        <v>#REF!</v>
      </c>
      <c r="J34" s="448" t="e">
        <f t="shared" si="6"/>
        <v>#REF!</v>
      </c>
      <c r="K34" s="448" t="e">
        <f>VLOOKUP(C34,'ПРАЙС ЮСТ'!B:C,14,0)</f>
        <v>#REF!</v>
      </c>
      <c r="L34" s="448" t="e">
        <f t="shared" si="7"/>
        <v>#REF!</v>
      </c>
      <c r="M34" s="460"/>
      <c r="N34" s="460" t="e">
        <f t="shared" si="8"/>
        <v>#REF!</v>
      </c>
      <c r="O34" s="460" t="e">
        <f t="shared" si="9"/>
        <v>#REF!</v>
      </c>
    </row>
    <row r="35" spans="1:15" x14ac:dyDescent="0.25">
      <c r="B35" s="426">
        <v>6</v>
      </c>
      <c r="C35" s="452" t="e">
        <f>VLOOKUP(D35,'ПРАЙС ЮСТ'!B:C,15,0)</f>
        <v>#REF!</v>
      </c>
      <c r="D35" s="423" t="s">
        <v>443</v>
      </c>
      <c r="E35" s="424" t="s">
        <v>75</v>
      </c>
      <c r="F35" s="424">
        <v>2</v>
      </c>
      <c r="G35" s="448" t="e">
        <f>VLOOKUP(C35,'ПРАЙС ЮСТ'!B:B,4,0)</f>
        <v>#REF!</v>
      </c>
      <c r="H35" s="448"/>
      <c r="I35" s="448" t="e">
        <f t="shared" si="5"/>
        <v>#REF!</v>
      </c>
      <c r="J35" s="448" t="e">
        <f t="shared" si="6"/>
        <v>#REF!</v>
      </c>
      <c r="K35" s="448" t="e">
        <f>VLOOKUP(C35,'ПРАЙС ЮСТ'!B:C,14,0)</f>
        <v>#REF!</v>
      </c>
      <c r="L35" s="448" t="e">
        <f t="shared" si="7"/>
        <v>#REF!</v>
      </c>
      <c r="M35" s="460"/>
      <c r="N35" s="460" t="e">
        <f t="shared" si="8"/>
        <v>#REF!</v>
      </c>
      <c r="O35" s="460" t="e">
        <f t="shared" si="9"/>
        <v>#REF!</v>
      </c>
    </row>
    <row r="36" spans="1:15" x14ac:dyDescent="0.25">
      <c r="B36" s="426">
        <v>7</v>
      </c>
      <c r="C36" s="452" t="e">
        <f>VLOOKUP(D36,'ПРАЙС ЮСТ'!B:C,15,0)</f>
        <v>#REF!</v>
      </c>
      <c r="D36" s="423" t="s">
        <v>442</v>
      </c>
      <c r="E36" s="424" t="s">
        <v>75</v>
      </c>
      <c r="F36" s="424">
        <v>2</v>
      </c>
      <c r="G36" s="448" t="e">
        <f>VLOOKUP(C36,'ПРАЙС ЮСТ'!B:B,4,0)</f>
        <v>#REF!</v>
      </c>
      <c r="H36" s="448"/>
      <c r="I36" s="448" t="e">
        <f t="shared" si="5"/>
        <v>#REF!</v>
      </c>
      <c r="J36" s="448" t="e">
        <f t="shared" si="6"/>
        <v>#REF!</v>
      </c>
      <c r="K36" s="448" t="e">
        <f>VLOOKUP(C36,'ПРАЙС ЮСТ'!B:C,14,0)</f>
        <v>#REF!</v>
      </c>
      <c r="L36" s="448" t="e">
        <f t="shared" si="7"/>
        <v>#REF!</v>
      </c>
      <c r="M36" s="460"/>
      <c r="N36" s="460" t="e">
        <f t="shared" si="8"/>
        <v>#REF!</v>
      </c>
      <c r="O36" s="460" t="e">
        <f t="shared" si="9"/>
        <v>#REF!</v>
      </c>
    </row>
    <row r="37" spans="1:15" x14ac:dyDescent="0.25">
      <c r="B37" s="46">
        <v>8</v>
      </c>
      <c r="C37" s="452" t="e">
        <f>VLOOKUP(D37,'ПРАЙС ЮСТ'!B:C,15,0)</f>
        <v>#REF!</v>
      </c>
      <c r="D37" s="47" t="s">
        <v>350</v>
      </c>
      <c r="E37" s="48" t="s">
        <v>78</v>
      </c>
      <c r="F37" s="48">
        <v>1</v>
      </c>
      <c r="G37" s="448" t="e">
        <f>VLOOKUP(C37,'ПРАЙС ЮСТ'!B:B,4,0)</f>
        <v>#REF!</v>
      </c>
      <c r="H37" s="448"/>
      <c r="I37" s="448" t="e">
        <f t="shared" si="5"/>
        <v>#REF!</v>
      </c>
      <c r="J37" s="448" t="e">
        <f t="shared" si="6"/>
        <v>#REF!</v>
      </c>
      <c r="K37" s="448" t="e">
        <f>VLOOKUP(C37,'ПРАЙС ЮСТ'!B:C,14,0)</f>
        <v>#REF!</v>
      </c>
      <c r="L37" s="448" t="e">
        <f t="shared" si="7"/>
        <v>#REF!</v>
      </c>
      <c r="M37" s="460"/>
      <c r="N37" s="460" t="e">
        <f t="shared" si="8"/>
        <v>#REF!</v>
      </c>
      <c r="O37" s="460" t="e">
        <f t="shared" si="9"/>
        <v>#REF!</v>
      </c>
    </row>
    <row r="38" spans="1:15" x14ac:dyDescent="0.25">
      <c r="B38" s="46">
        <v>11</v>
      </c>
      <c r="C38" s="452" t="e">
        <f>VLOOKUP(D38,'ПРАЙС ЮСТ'!B:C,15,0)</f>
        <v>#N/A</v>
      </c>
      <c r="D38" s="47" t="s">
        <v>461</v>
      </c>
      <c r="E38" s="48" t="s">
        <v>75</v>
      </c>
      <c r="F38" s="49">
        <v>16</v>
      </c>
      <c r="G38" s="448" t="e">
        <f>VLOOKUP(C38,'ПРАЙС ЮСТ'!B:B,4,0)</f>
        <v>#N/A</v>
      </c>
      <c r="H38" s="448"/>
      <c r="I38" s="448"/>
      <c r="J38" s="448" t="e">
        <f t="shared" si="6"/>
        <v>#N/A</v>
      </c>
      <c r="K38" s="448" t="e">
        <f>VLOOKUP(C38,'ПРАЙС ЮСТ'!B:C,14,0)</f>
        <v>#N/A</v>
      </c>
      <c r="L38" s="448" t="e">
        <f t="shared" si="7"/>
        <v>#N/A</v>
      </c>
      <c r="M38" s="460"/>
      <c r="N38" s="460"/>
      <c r="O38" s="460" t="e">
        <f>L38*(1-$O$4)</f>
        <v>#N/A</v>
      </c>
    </row>
    <row r="39" spans="1:15" x14ac:dyDescent="0.25">
      <c r="B39" s="46">
        <v>12</v>
      </c>
      <c r="C39" s="453"/>
      <c r="D39" s="47" t="s">
        <v>474</v>
      </c>
      <c r="E39" s="48" t="s">
        <v>75</v>
      </c>
      <c r="F39" s="55">
        <v>1</v>
      </c>
      <c r="G39" s="449">
        <f>2015/1.2</f>
        <v>1679.1666666666667</v>
      </c>
      <c r="H39" s="448">
        <f>$G39*F39</f>
        <v>1679.1666666666667</v>
      </c>
      <c r="I39" s="448">
        <f>G39*F39</f>
        <v>1679.1666666666667</v>
      </c>
      <c r="J39" s="448">
        <f>F39*G39</f>
        <v>1679.1666666666667</v>
      </c>
      <c r="K39" s="450"/>
      <c r="L39" s="448">
        <f>G39*F39</f>
        <v>1679.1666666666667</v>
      </c>
      <c r="M39" s="461"/>
      <c r="N39" s="461"/>
      <c r="O39" s="461">
        <f>L39</f>
        <v>1679.1666666666667</v>
      </c>
    </row>
    <row r="40" spans="1:15" x14ac:dyDescent="0.25">
      <c r="B40" s="46">
        <v>13</v>
      </c>
      <c r="C40" s="453"/>
      <c r="D40" s="47" t="s">
        <v>476</v>
      </c>
      <c r="E40" s="48" t="s">
        <v>75</v>
      </c>
      <c r="F40" s="442">
        <v>1</v>
      </c>
      <c r="G40" s="449"/>
      <c r="H40" s="443"/>
      <c r="I40" s="448"/>
      <c r="J40" s="443"/>
      <c r="K40" s="443"/>
      <c r="L40" s="443"/>
      <c r="M40" s="462"/>
      <c r="N40" s="462"/>
      <c r="O40" s="462"/>
    </row>
    <row r="41" spans="1:15" x14ac:dyDescent="0.25">
      <c r="A41" s="24"/>
      <c r="B41" s="24"/>
      <c r="C41" s="24"/>
      <c r="D41" s="377" t="s">
        <v>460</v>
      </c>
      <c r="E41" s="46"/>
      <c r="F41" s="79"/>
      <c r="G41" s="69"/>
      <c r="H41" s="437" t="e">
        <f>SUM(H30:H40)</f>
        <v>#N/A</v>
      </c>
      <c r="I41" s="437" t="e">
        <f>SUM(I30:I40)</f>
        <v>#N/A</v>
      </c>
      <c r="J41" s="437" t="e">
        <f>SUM(J30:J40)</f>
        <v>#N/A</v>
      </c>
      <c r="K41" s="437"/>
      <c r="L41" s="437"/>
      <c r="M41" s="456" t="e">
        <f>SUM(M30:M39)</f>
        <v>#N/A</v>
      </c>
      <c r="N41" s="456" t="e">
        <f>SUM(N30:N39)</f>
        <v>#N/A</v>
      </c>
      <c r="O41" s="456" t="e">
        <f>SUM(O30:O40)</f>
        <v>#N/A</v>
      </c>
    </row>
    <row r="42" spans="1:15" x14ac:dyDescent="0.25">
      <c r="A42" s="24"/>
      <c r="B42" s="24"/>
      <c r="C42" s="24"/>
      <c r="D42" s="106"/>
      <c r="E42" s="24"/>
      <c r="F42" s="24"/>
      <c r="K42" s="24"/>
      <c r="L42" s="419"/>
      <c r="M42" s="24"/>
      <c r="N42" s="24"/>
      <c r="O42" s="24"/>
    </row>
    <row r="43" spans="1:15" x14ac:dyDescent="0.25">
      <c r="A43" s="24"/>
      <c r="B43" s="24"/>
      <c r="C43" s="24"/>
      <c r="F43" s="24"/>
      <c r="K43" t="s">
        <v>478</v>
      </c>
      <c r="M43" s="456" t="e">
        <f>ROUND(M41*1.2,-2)-10</f>
        <v>#N/A</v>
      </c>
      <c r="N43" s="456" t="e">
        <f>ROUND(N41*1.2,-2)-10</f>
        <v>#N/A</v>
      </c>
      <c r="O43" s="456" t="e">
        <f>ROUND(O41*1.2,-2)-10</f>
        <v>#N/A</v>
      </c>
    </row>
    <row r="44" spans="1:15" x14ac:dyDescent="0.25">
      <c r="A44" s="24"/>
      <c r="B44" s="24"/>
      <c r="C44" s="24"/>
      <c r="F44" s="24"/>
      <c r="K44" t="s">
        <v>499</v>
      </c>
      <c r="M44" s="457"/>
      <c r="N44" s="457">
        <v>323000</v>
      </c>
      <c r="O44" s="457"/>
    </row>
    <row r="45" spans="1:15" x14ac:dyDescent="0.25">
      <c r="A45" s="24"/>
      <c r="B45" s="24"/>
      <c r="C45" s="24"/>
      <c r="F45" s="24"/>
      <c r="K45" s="24" t="s">
        <v>475</v>
      </c>
      <c r="M45" s="475" t="e">
        <f>(M41-H41)/M41</f>
        <v>#N/A</v>
      </c>
      <c r="N45" s="475" t="e">
        <f>(N41-I41)/N41</f>
        <v>#N/A</v>
      </c>
      <c r="O45" s="475" t="e">
        <f>(O41-J41)/O41</f>
        <v>#N/A</v>
      </c>
    </row>
    <row r="49" spans="1:16" ht="15.75" thickBot="1" x14ac:dyDescent="0.3">
      <c r="B49" s="24"/>
      <c r="C49" s="24"/>
      <c r="D49" s="34" t="s">
        <v>246</v>
      </c>
      <c r="E49" s="34">
        <f>F51*0.28</f>
        <v>8.4</v>
      </c>
      <c r="F49" s="34" t="s">
        <v>64</v>
      </c>
      <c r="G49" s="27"/>
      <c r="H49" s="35"/>
      <c r="I49" s="35"/>
      <c r="J49" s="35"/>
      <c r="K49" s="27"/>
      <c r="L49" s="27"/>
      <c r="M49" s="440"/>
      <c r="N49" s="440"/>
      <c r="O49" s="440"/>
    </row>
    <row r="50" spans="1:16" ht="45.75" thickBot="1" x14ac:dyDescent="0.3">
      <c r="B50" s="37" t="s">
        <v>33</v>
      </c>
      <c r="C50" s="451"/>
      <c r="D50" s="38" t="s">
        <v>0</v>
      </c>
      <c r="E50" s="39" t="s">
        <v>68</v>
      </c>
      <c r="F50" s="40" t="s">
        <v>69</v>
      </c>
      <c r="G50" s="41" t="s">
        <v>70</v>
      </c>
      <c r="H50" s="41" t="s">
        <v>467</v>
      </c>
      <c r="I50" s="41" t="s">
        <v>468</v>
      </c>
      <c r="J50" s="41" t="s">
        <v>469</v>
      </c>
      <c r="K50" s="41" t="s">
        <v>459</v>
      </c>
      <c r="L50" s="41" t="s">
        <v>470</v>
      </c>
      <c r="M50" s="41" t="s">
        <v>471</v>
      </c>
      <c r="N50" s="41" t="s">
        <v>472</v>
      </c>
      <c r="O50" s="43" t="s">
        <v>473</v>
      </c>
    </row>
    <row r="51" spans="1:16" x14ac:dyDescent="0.25">
      <c r="B51" s="48">
        <v>1</v>
      </c>
      <c r="C51" s="452" t="e">
        <f>VLOOKUP(D51,'ПРАЙС ЮСТ'!B:C,15,0)</f>
        <v>#N/A</v>
      </c>
      <c r="D51" s="47" t="s">
        <v>498</v>
      </c>
      <c r="E51" s="48" t="s">
        <v>75</v>
      </c>
      <c r="F51" s="49">
        <v>30</v>
      </c>
      <c r="G51" s="448" t="e">
        <f>(K51*(1-N2))*0.87</f>
        <v>#N/A</v>
      </c>
      <c r="H51" s="448" t="e">
        <f>G51*F51</f>
        <v>#N/A</v>
      </c>
      <c r="I51" s="448" t="e">
        <f>F51*G51</f>
        <v>#N/A</v>
      </c>
      <c r="J51" s="448" t="e">
        <f>F51*G51</f>
        <v>#N/A</v>
      </c>
      <c r="K51" s="448" t="e">
        <f>VLOOKUP(C51,'ПРАЙС ЮСТ'!B:C,14,0)</f>
        <v>#N/A</v>
      </c>
      <c r="L51" s="448" t="e">
        <f>K51*F51</f>
        <v>#N/A</v>
      </c>
      <c r="M51" s="448" t="e">
        <f>L51*(1-$M$2)</f>
        <v>#N/A</v>
      </c>
      <c r="N51" s="448" t="e">
        <f>L51*(1-N2)</f>
        <v>#N/A</v>
      </c>
      <c r="O51" s="448" t="e">
        <f>L51*(1-$O$2)</f>
        <v>#N/A</v>
      </c>
      <c r="P51" s="438"/>
    </row>
    <row r="52" spans="1:16" x14ac:dyDescent="0.25">
      <c r="B52" s="46">
        <v>2</v>
      </c>
      <c r="C52" s="452" t="e">
        <f>VLOOKUP(D52,'ПРАЙС ЮСТ'!B:C,15,0)</f>
        <v>#N/A</v>
      </c>
      <c r="D52" s="47" t="s">
        <v>366</v>
      </c>
      <c r="E52" s="48" t="s">
        <v>75</v>
      </c>
      <c r="F52" s="49">
        <v>1</v>
      </c>
      <c r="G52" s="448" t="e">
        <f>VLOOKUP(C52,'ПРАЙС ЮСТ'!B:B,4,0)</f>
        <v>#N/A</v>
      </c>
      <c r="H52" s="448" t="e">
        <f>G52*F52</f>
        <v>#N/A</v>
      </c>
      <c r="I52" s="448" t="e">
        <f t="shared" ref="I52:I58" si="10">F52*G52</f>
        <v>#N/A</v>
      </c>
      <c r="J52" s="448" t="e">
        <f t="shared" ref="J52:J59" si="11">F52*G52</f>
        <v>#N/A</v>
      </c>
      <c r="K52" s="448" t="e">
        <f>VLOOKUP(C52,'ПРАЙС ЮСТ'!B:C,14,0)</f>
        <v>#N/A</v>
      </c>
      <c r="L52" s="448" t="e">
        <f t="shared" ref="L52:L59" si="12">K52*F52</f>
        <v>#N/A</v>
      </c>
      <c r="M52" s="460" t="e">
        <f>L52*(1-$M$3)</f>
        <v>#N/A</v>
      </c>
      <c r="N52" s="460" t="e">
        <f>L52*(1-$N$3)</f>
        <v>#N/A</v>
      </c>
      <c r="O52" s="460" t="e">
        <f>L52*(1-$O$3)</f>
        <v>#N/A</v>
      </c>
    </row>
    <row r="53" spans="1:16" x14ac:dyDescent="0.25">
      <c r="B53" s="46">
        <v>4</v>
      </c>
      <c r="C53" s="452" t="e">
        <f>VLOOKUP(D53,'ПРАЙС ЮСТ'!B:C,15,0)</f>
        <v>#REF!</v>
      </c>
      <c r="D53" s="47" t="s">
        <v>333</v>
      </c>
      <c r="E53" s="48" t="s">
        <v>75</v>
      </c>
      <c r="F53" s="48">
        <v>1</v>
      </c>
      <c r="G53" s="448" t="e">
        <f>VLOOKUP(C53,'ПРАЙС ЮСТ'!B:B,4,0)</f>
        <v>#REF!</v>
      </c>
      <c r="H53" s="448"/>
      <c r="I53" s="448" t="e">
        <f t="shared" si="10"/>
        <v>#REF!</v>
      </c>
      <c r="J53" s="448" t="e">
        <f t="shared" si="11"/>
        <v>#REF!</v>
      </c>
      <c r="K53" s="448" t="e">
        <f>VLOOKUP(C53,'ПРАЙС ЮСТ'!B:C,14,0)</f>
        <v>#REF!</v>
      </c>
      <c r="L53" s="448" t="e">
        <f t="shared" si="12"/>
        <v>#REF!</v>
      </c>
      <c r="M53" s="460"/>
      <c r="N53" s="460" t="e">
        <f t="shared" ref="N53:N58" si="13">L53*(1-$N$3)</f>
        <v>#REF!</v>
      </c>
      <c r="O53" s="460" t="e">
        <f t="shared" ref="O53:O58" si="14">L53*(1-$O$3)</f>
        <v>#REF!</v>
      </c>
    </row>
    <row r="54" spans="1:16" x14ac:dyDescent="0.25">
      <c r="B54" s="46">
        <v>5</v>
      </c>
      <c r="C54" s="452" t="e">
        <f>VLOOKUP(D54,'ПРАЙС ЮСТ'!B:C,15,0)</f>
        <v>#REF!</v>
      </c>
      <c r="D54" s="47" t="s">
        <v>335</v>
      </c>
      <c r="E54" s="48" t="s">
        <v>78</v>
      </c>
      <c r="F54" s="48">
        <v>30</v>
      </c>
      <c r="G54" s="448" t="e">
        <f>VLOOKUP(C54,'ПРАЙС ЮСТ'!B:B,4,0)</f>
        <v>#REF!</v>
      </c>
      <c r="H54" s="448"/>
      <c r="I54" s="448" t="e">
        <f t="shared" si="10"/>
        <v>#REF!</v>
      </c>
      <c r="J54" s="448" t="e">
        <f t="shared" si="11"/>
        <v>#REF!</v>
      </c>
      <c r="K54" s="448" t="e">
        <f>VLOOKUP(C54,'ПРАЙС ЮСТ'!B:C,14,0)</f>
        <v>#REF!</v>
      </c>
      <c r="L54" s="448" t="e">
        <f t="shared" si="12"/>
        <v>#REF!</v>
      </c>
      <c r="M54" s="460"/>
      <c r="N54" s="460" t="e">
        <f t="shared" si="13"/>
        <v>#REF!</v>
      </c>
      <c r="O54" s="460" t="e">
        <f t="shared" si="14"/>
        <v>#REF!</v>
      </c>
    </row>
    <row r="55" spans="1:16" x14ac:dyDescent="0.25">
      <c r="B55" s="46">
        <v>6</v>
      </c>
      <c r="C55" s="452" t="e">
        <f>VLOOKUP(D55,'ПРАЙС ЮСТ'!B:C,15,0)</f>
        <v>#REF!</v>
      </c>
      <c r="D55" s="47" t="s">
        <v>336</v>
      </c>
      <c r="E55" s="48" t="s">
        <v>78</v>
      </c>
      <c r="F55" s="48">
        <v>30</v>
      </c>
      <c r="G55" s="448" t="e">
        <f>VLOOKUP(C55,'ПРАЙС ЮСТ'!B:B,4,0)</f>
        <v>#REF!</v>
      </c>
      <c r="H55" s="448"/>
      <c r="I55" s="448" t="e">
        <f t="shared" si="10"/>
        <v>#REF!</v>
      </c>
      <c r="J55" s="448" t="e">
        <f t="shared" si="11"/>
        <v>#REF!</v>
      </c>
      <c r="K55" s="448" t="e">
        <f>VLOOKUP(C55,'ПРАЙС ЮСТ'!B:C,14,0)</f>
        <v>#REF!</v>
      </c>
      <c r="L55" s="448" t="e">
        <f t="shared" si="12"/>
        <v>#REF!</v>
      </c>
      <c r="M55" s="460"/>
      <c r="N55" s="460" t="e">
        <f t="shared" si="13"/>
        <v>#REF!</v>
      </c>
      <c r="O55" s="460" t="e">
        <f t="shared" si="14"/>
        <v>#REF!</v>
      </c>
    </row>
    <row r="56" spans="1:16" x14ac:dyDescent="0.25">
      <c r="B56" s="46">
        <v>7</v>
      </c>
      <c r="C56" s="452" t="e">
        <f>VLOOKUP(D56,'ПРАЙС ЮСТ'!B:C,15,0)</f>
        <v>#REF!</v>
      </c>
      <c r="D56" s="423" t="s">
        <v>443</v>
      </c>
      <c r="E56" s="424" t="s">
        <v>75</v>
      </c>
      <c r="F56" s="424">
        <v>2</v>
      </c>
      <c r="G56" s="448" t="e">
        <f>VLOOKUP(C56,'ПРАЙС ЮСТ'!B:B,4,0)</f>
        <v>#REF!</v>
      </c>
      <c r="H56" s="448"/>
      <c r="I56" s="448" t="e">
        <f t="shared" si="10"/>
        <v>#REF!</v>
      </c>
      <c r="J56" s="448" t="e">
        <f t="shared" si="11"/>
        <v>#REF!</v>
      </c>
      <c r="K56" s="448" t="e">
        <f>VLOOKUP(C56,'ПРАЙС ЮСТ'!B:C,14,0)</f>
        <v>#REF!</v>
      </c>
      <c r="L56" s="448" t="e">
        <f t="shared" si="12"/>
        <v>#REF!</v>
      </c>
      <c r="M56" s="460"/>
      <c r="N56" s="460" t="e">
        <f t="shared" si="13"/>
        <v>#REF!</v>
      </c>
      <c r="O56" s="460" t="e">
        <f t="shared" si="14"/>
        <v>#REF!</v>
      </c>
    </row>
    <row r="57" spans="1:16" x14ac:dyDescent="0.25">
      <c r="B57" s="46">
        <v>8</v>
      </c>
      <c r="C57" s="452" t="e">
        <f>VLOOKUP(D57,'ПРАЙС ЮСТ'!B:C,15,0)</f>
        <v>#REF!</v>
      </c>
      <c r="D57" s="423" t="s">
        <v>442</v>
      </c>
      <c r="E57" s="424" t="s">
        <v>75</v>
      </c>
      <c r="F57" s="424">
        <v>2</v>
      </c>
      <c r="G57" s="448" t="e">
        <f>VLOOKUP(C57,'ПРАЙС ЮСТ'!B:B,4,0)</f>
        <v>#REF!</v>
      </c>
      <c r="H57" s="448"/>
      <c r="I57" s="448" t="e">
        <f t="shared" si="10"/>
        <v>#REF!</v>
      </c>
      <c r="J57" s="448" t="e">
        <f t="shared" si="11"/>
        <v>#REF!</v>
      </c>
      <c r="K57" s="448" t="e">
        <f>VLOOKUP(C57,'ПРАЙС ЮСТ'!B:C,14,0)</f>
        <v>#REF!</v>
      </c>
      <c r="L57" s="448" t="e">
        <f t="shared" si="12"/>
        <v>#REF!</v>
      </c>
      <c r="M57" s="460"/>
      <c r="N57" s="460" t="e">
        <f t="shared" si="13"/>
        <v>#REF!</v>
      </c>
      <c r="O57" s="460" t="e">
        <f t="shared" si="14"/>
        <v>#REF!</v>
      </c>
    </row>
    <row r="58" spans="1:16" x14ac:dyDescent="0.25">
      <c r="B58" s="46">
        <v>9</v>
      </c>
      <c r="C58" s="452" t="e">
        <f>VLOOKUP(D58,'ПРАЙС ЮСТ'!B:C,15,0)</f>
        <v>#REF!</v>
      </c>
      <c r="D58" s="47" t="s">
        <v>353</v>
      </c>
      <c r="E58" s="48" t="s">
        <v>78</v>
      </c>
      <c r="F58" s="48">
        <v>1</v>
      </c>
      <c r="G58" s="448" t="e">
        <f>VLOOKUP(C58,'ПРАЙС ЮСТ'!B:B,4,0)</f>
        <v>#REF!</v>
      </c>
      <c r="H58" s="448"/>
      <c r="I58" s="448" t="e">
        <f t="shared" si="10"/>
        <v>#REF!</v>
      </c>
      <c r="J58" s="448" t="e">
        <f t="shared" si="11"/>
        <v>#REF!</v>
      </c>
      <c r="K58" s="448" t="e">
        <f>VLOOKUP(C58,'ПРАЙС ЮСТ'!B:C,14,0)</f>
        <v>#REF!</v>
      </c>
      <c r="L58" s="448" t="e">
        <f t="shared" si="12"/>
        <v>#REF!</v>
      </c>
      <c r="M58" s="460"/>
      <c r="N58" s="460" t="e">
        <f t="shared" si="13"/>
        <v>#REF!</v>
      </c>
      <c r="O58" s="460" t="e">
        <f t="shared" si="14"/>
        <v>#REF!</v>
      </c>
    </row>
    <row r="59" spans="1:16" x14ac:dyDescent="0.25">
      <c r="A59" s="24"/>
      <c r="B59" s="46">
        <v>9</v>
      </c>
      <c r="C59" s="452" t="e">
        <f>VLOOKUP(D59,'ПРАЙС ЮСТ'!B:C,15,0)</f>
        <v>#N/A</v>
      </c>
      <c r="D59" s="47" t="s">
        <v>461</v>
      </c>
      <c r="E59" s="91"/>
      <c r="F59" s="55">
        <v>34</v>
      </c>
      <c r="G59" s="448" t="e">
        <f>VLOOKUP(C59,'ПРАЙС ЮСТ'!B:B,4,0)</f>
        <v>#N/A</v>
      </c>
      <c r="H59" s="448"/>
      <c r="I59" s="448"/>
      <c r="J59" s="448" t="e">
        <f t="shared" si="11"/>
        <v>#N/A</v>
      </c>
      <c r="K59" s="448" t="e">
        <f>VLOOKUP(C59,'ПРАЙС ЮСТ'!B:C,14,0)</f>
        <v>#N/A</v>
      </c>
      <c r="L59" s="448" t="e">
        <f t="shared" si="12"/>
        <v>#N/A</v>
      </c>
      <c r="M59" s="460"/>
      <c r="N59" s="460"/>
      <c r="O59" s="460" t="e">
        <f>L59*(1-$O$4)</f>
        <v>#N/A</v>
      </c>
    </row>
    <row r="60" spans="1:16" x14ac:dyDescent="0.25">
      <c r="A60" s="24"/>
      <c r="B60" s="46"/>
      <c r="C60" s="452"/>
      <c r="D60" s="47" t="s">
        <v>474</v>
      </c>
      <c r="E60" s="441"/>
      <c r="F60" s="442">
        <v>1</v>
      </c>
      <c r="G60" s="449">
        <f>3013/1.2</f>
        <v>2510.8333333333335</v>
      </c>
      <c r="H60" s="448">
        <f>$G60*F60</f>
        <v>2510.8333333333335</v>
      </c>
      <c r="I60" s="448">
        <f>G60*F60</f>
        <v>2510.8333333333335</v>
      </c>
      <c r="J60" s="448">
        <f>F60*G60</f>
        <v>2510.8333333333335</v>
      </c>
      <c r="K60" s="450"/>
      <c r="L60" s="448">
        <f>G60*F60</f>
        <v>2510.8333333333335</v>
      </c>
      <c r="M60" s="461"/>
      <c r="N60" s="461"/>
      <c r="O60" s="461">
        <f>L60</f>
        <v>2510.8333333333335</v>
      </c>
    </row>
    <row r="61" spans="1:16" x14ac:dyDescent="0.25">
      <c r="A61" s="24"/>
      <c r="B61" s="46"/>
      <c r="C61" s="453"/>
      <c r="D61" s="47" t="s">
        <v>476</v>
      </c>
      <c r="E61" s="441"/>
      <c r="F61" s="442"/>
      <c r="G61" s="449"/>
      <c r="H61" s="443"/>
      <c r="I61" s="448"/>
      <c r="J61" s="443"/>
      <c r="K61" s="443"/>
      <c r="L61" s="443">
        <f>J61</f>
        <v>0</v>
      </c>
      <c r="M61" s="462"/>
      <c r="N61" s="462"/>
      <c r="O61" s="462">
        <f>L61*(1-$O$5)</f>
        <v>0</v>
      </c>
    </row>
    <row r="62" spans="1:16" x14ac:dyDescent="0.25">
      <c r="A62" s="24"/>
      <c r="B62" s="24"/>
      <c r="C62" s="24"/>
      <c r="D62" s="377" t="s">
        <v>460</v>
      </c>
      <c r="E62" s="46"/>
      <c r="F62" s="79"/>
      <c r="G62" s="69"/>
      <c r="H62" s="437" t="e">
        <f>SUM(H51:H61)</f>
        <v>#N/A</v>
      </c>
      <c r="I62" s="437" t="e">
        <f>SUM(I51:I61)</f>
        <v>#N/A</v>
      </c>
      <c r="J62" s="437" t="e">
        <f>SUM(J51:J61)</f>
        <v>#N/A</v>
      </c>
      <c r="K62" s="437"/>
      <c r="L62" s="437"/>
      <c r="M62" s="456" t="e">
        <f>SUM(M51:M60)</f>
        <v>#N/A</v>
      </c>
      <c r="N62" s="456" t="e">
        <f>SUM(N51:N60)</f>
        <v>#N/A</v>
      </c>
      <c r="O62" s="456" t="e">
        <f>SUM(O51:O61)</f>
        <v>#N/A</v>
      </c>
    </row>
    <row r="63" spans="1:16" x14ac:dyDescent="0.25">
      <c r="A63" s="24"/>
      <c r="B63" s="24"/>
      <c r="C63" s="24"/>
      <c r="F63" s="24"/>
      <c r="K63" s="24"/>
      <c r="L63" s="24"/>
      <c r="M63" s="24"/>
      <c r="N63" s="24"/>
      <c r="O63" s="24"/>
    </row>
    <row r="64" spans="1:16" x14ac:dyDescent="0.25">
      <c r="A64" s="24"/>
      <c r="B64" s="24"/>
      <c r="C64" s="24"/>
      <c r="F64" s="24"/>
      <c r="K64" t="s">
        <v>478</v>
      </c>
      <c r="M64" s="456" t="e">
        <f>ROUND(M62*1.2,-2)-10</f>
        <v>#N/A</v>
      </c>
      <c r="N64" s="456" t="e">
        <f>ROUND(N62*1.2,-2)-10</f>
        <v>#N/A</v>
      </c>
      <c r="O64" s="456" t="e">
        <f>ROUND(O62*1.2,-2)-10</f>
        <v>#N/A</v>
      </c>
    </row>
    <row r="65" spans="1:16" x14ac:dyDescent="0.25">
      <c r="A65" s="24"/>
      <c r="B65" s="24"/>
      <c r="C65" s="24"/>
      <c r="F65" s="24"/>
      <c r="K65" t="s">
        <v>499</v>
      </c>
      <c r="M65" s="457"/>
      <c r="N65" s="457">
        <v>529000</v>
      </c>
      <c r="O65" s="457"/>
    </row>
    <row r="66" spans="1:16" x14ac:dyDescent="0.25">
      <c r="A66" s="24"/>
      <c r="B66" s="24"/>
      <c r="C66" s="24"/>
      <c r="F66" s="24"/>
      <c r="K66" s="24" t="s">
        <v>475</v>
      </c>
      <c r="M66" s="454" t="e">
        <f>(M62-H62)/M62</f>
        <v>#N/A</v>
      </c>
      <c r="N66" s="454" t="e">
        <f>(N62-I62)/N62</f>
        <v>#N/A</v>
      </c>
      <c r="O66" s="454" t="e">
        <f>(O62-J62)/O62</f>
        <v>#N/A</v>
      </c>
    </row>
    <row r="69" spans="1:16" ht="15.75" thickBot="1" x14ac:dyDescent="0.3">
      <c r="B69" s="24"/>
      <c r="C69" s="24"/>
      <c r="D69" s="34" t="s">
        <v>247</v>
      </c>
      <c r="E69" s="34">
        <f>F71*0.28</f>
        <v>15.120000000000001</v>
      </c>
      <c r="F69" s="34" t="s">
        <v>64</v>
      </c>
      <c r="G69" s="27"/>
      <c r="H69" s="35"/>
      <c r="I69" s="35"/>
      <c r="J69" s="35"/>
      <c r="K69" s="27"/>
      <c r="L69" s="27"/>
      <c r="M69" s="440"/>
      <c r="N69" s="440"/>
      <c r="O69" s="440"/>
    </row>
    <row r="70" spans="1:16" ht="45.75" thickBot="1" x14ac:dyDescent="0.3">
      <c r="B70" s="444" t="s">
        <v>33</v>
      </c>
      <c r="C70" s="444"/>
      <c r="D70" s="445" t="s">
        <v>0</v>
      </c>
      <c r="E70" s="446" t="s">
        <v>68</v>
      </c>
      <c r="F70" s="445" t="s">
        <v>69</v>
      </c>
      <c r="G70" s="41" t="s">
        <v>70</v>
      </c>
      <c r="H70" s="41" t="s">
        <v>467</v>
      </c>
      <c r="I70" s="41" t="s">
        <v>468</v>
      </c>
      <c r="J70" s="41" t="s">
        <v>469</v>
      </c>
      <c r="K70" s="41" t="s">
        <v>459</v>
      </c>
      <c r="L70" s="41" t="s">
        <v>470</v>
      </c>
      <c r="M70" s="41" t="s">
        <v>471</v>
      </c>
      <c r="N70" s="41" t="s">
        <v>472</v>
      </c>
      <c r="O70" s="43" t="s">
        <v>473</v>
      </c>
    </row>
    <row r="71" spans="1:16" x14ac:dyDescent="0.25">
      <c r="B71" s="48">
        <v>1</v>
      </c>
      <c r="C71" s="452" t="e">
        <f>VLOOKUP(D71,'ПРАЙС ЮСТ'!B:C,15,0)</f>
        <v>#N/A</v>
      </c>
      <c r="D71" s="47" t="s">
        <v>498</v>
      </c>
      <c r="E71" s="48" t="s">
        <v>75</v>
      </c>
      <c r="F71" s="49">
        <v>54</v>
      </c>
      <c r="G71" s="448" t="e">
        <f>(K71*(1-N2))*0.87</f>
        <v>#N/A</v>
      </c>
      <c r="H71" s="448" t="e">
        <f>G71*F71</f>
        <v>#N/A</v>
      </c>
      <c r="I71" s="448" t="e">
        <f>F71*G71</f>
        <v>#N/A</v>
      </c>
      <c r="J71" s="448" t="e">
        <f>F71*G71</f>
        <v>#N/A</v>
      </c>
      <c r="K71" s="448" t="e">
        <f>VLOOKUP(C71,'ПРАЙС ЮСТ'!B:C,14,0)</f>
        <v>#N/A</v>
      </c>
      <c r="L71" s="448" t="e">
        <f>K71*F71</f>
        <v>#N/A</v>
      </c>
      <c r="M71" s="448" t="e">
        <f>L71*(1-$M$2)</f>
        <v>#N/A</v>
      </c>
      <c r="N71" s="448" t="e">
        <f>L71*(1-N2)</f>
        <v>#N/A</v>
      </c>
      <c r="O71" s="448" t="e">
        <f>L71*(1-$O$2)</f>
        <v>#N/A</v>
      </c>
      <c r="P71" s="438"/>
    </row>
    <row r="72" spans="1:16" x14ac:dyDescent="0.25">
      <c r="B72" s="46">
        <v>2</v>
      </c>
      <c r="C72" s="452" t="e">
        <f>VLOOKUP(D72,'ПРАЙС ЮСТ'!B:C,15,0)</f>
        <v>#N/A</v>
      </c>
      <c r="D72" s="79" t="s">
        <v>363</v>
      </c>
      <c r="E72" s="46" t="s">
        <v>75</v>
      </c>
      <c r="F72" s="55">
        <v>1</v>
      </c>
      <c r="G72" s="448" t="e">
        <f>VLOOKUP(C72,'ПРАЙС ЮСТ'!B:B,4,0)</f>
        <v>#N/A</v>
      </c>
      <c r="H72" s="448" t="e">
        <f>G72*F72</f>
        <v>#N/A</v>
      </c>
      <c r="I72" s="448" t="e">
        <f>F72*G72</f>
        <v>#N/A</v>
      </c>
      <c r="J72" s="448" t="e">
        <f>F72*G72</f>
        <v>#N/A</v>
      </c>
      <c r="K72" s="448" t="e">
        <f>VLOOKUP(C72,'ПРАЙС ЮСТ'!B:C,14,0)</f>
        <v>#N/A</v>
      </c>
      <c r="L72" s="448" t="e">
        <f>K72*F72</f>
        <v>#N/A</v>
      </c>
      <c r="M72" s="460" t="e">
        <f>L72*(1-$M$2)</f>
        <v>#N/A</v>
      </c>
      <c r="N72" s="460" t="e">
        <f>L72*(1-$N$2)</f>
        <v>#N/A</v>
      </c>
      <c r="O72" s="460" t="e">
        <f>L72*(1-$O$2)</f>
        <v>#N/A</v>
      </c>
    </row>
    <row r="73" spans="1:16" x14ac:dyDescent="0.25">
      <c r="B73" s="46">
        <v>3</v>
      </c>
      <c r="C73" s="452" t="e">
        <f>VLOOKUP(D73,'ПРАЙС ЮСТ'!B:C,15,0)</f>
        <v>#REF!</v>
      </c>
      <c r="D73" s="79" t="s">
        <v>334</v>
      </c>
      <c r="E73" s="46" t="s">
        <v>75</v>
      </c>
      <c r="F73" s="46">
        <v>1</v>
      </c>
      <c r="G73" s="448" t="e">
        <f>VLOOKUP(C73,'ПРАЙС ЮСТ'!B:B,4,0)</f>
        <v>#REF!</v>
      </c>
      <c r="H73" s="448"/>
      <c r="I73" s="448" t="e">
        <f t="shared" ref="I73:I78" si="15">F73*G73</f>
        <v>#REF!</v>
      </c>
      <c r="J73" s="448" t="e">
        <f t="shared" ref="J73:J79" si="16">F73*G73</f>
        <v>#REF!</v>
      </c>
      <c r="K73" s="448" t="e">
        <f>VLOOKUP(C73,'ПРАЙС ЮСТ'!B:C,14,0)</f>
        <v>#REF!</v>
      </c>
      <c r="L73" s="448" t="e">
        <f t="shared" ref="L73:L79" si="17">K73*F73</f>
        <v>#REF!</v>
      </c>
      <c r="M73" s="460"/>
      <c r="N73" s="460" t="e">
        <f t="shared" ref="N73:N78" si="18">L73*(1-$N$3)</f>
        <v>#REF!</v>
      </c>
      <c r="O73" s="460" t="e">
        <f t="shared" ref="O73:O78" si="19">L73*(1-$O$3)</f>
        <v>#REF!</v>
      </c>
    </row>
    <row r="74" spans="1:16" x14ac:dyDescent="0.25">
      <c r="B74" s="46">
        <v>4</v>
      </c>
      <c r="C74" s="452" t="e">
        <f>VLOOKUP(D74,'ПРАЙС ЮСТ'!B:C,15,0)</f>
        <v>#REF!</v>
      </c>
      <c r="D74" s="47" t="s">
        <v>335</v>
      </c>
      <c r="E74" s="46" t="s">
        <v>78</v>
      </c>
      <c r="F74" s="46">
        <v>45</v>
      </c>
      <c r="G74" s="448" t="e">
        <f>VLOOKUP(C74,'ПРАЙС ЮСТ'!B:B,4,0)</f>
        <v>#REF!</v>
      </c>
      <c r="H74" s="448"/>
      <c r="I74" s="448" t="e">
        <f t="shared" si="15"/>
        <v>#REF!</v>
      </c>
      <c r="J74" s="448" t="e">
        <f t="shared" si="16"/>
        <v>#REF!</v>
      </c>
      <c r="K74" s="448" t="e">
        <f>VLOOKUP(C74,'ПРАЙС ЮСТ'!B:C,14,0)</f>
        <v>#REF!</v>
      </c>
      <c r="L74" s="448" t="e">
        <f t="shared" si="17"/>
        <v>#REF!</v>
      </c>
      <c r="M74" s="460"/>
      <c r="N74" s="460" t="e">
        <f t="shared" si="18"/>
        <v>#REF!</v>
      </c>
      <c r="O74" s="460" t="e">
        <f t="shared" si="19"/>
        <v>#REF!</v>
      </c>
    </row>
    <row r="75" spans="1:16" x14ac:dyDescent="0.25">
      <c r="B75" s="46">
        <v>5</v>
      </c>
      <c r="C75" s="452" t="e">
        <f>VLOOKUP(D75,'ПРАЙС ЮСТ'!B:C,15,0)</f>
        <v>#REF!</v>
      </c>
      <c r="D75" s="47" t="s">
        <v>336</v>
      </c>
      <c r="E75" s="46" t="s">
        <v>78</v>
      </c>
      <c r="F75" s="46">
        <v>45</v>
      </c>
      <c r="G75" s="448" t="e">
        <f>VLOOKUP(C75,'ПРАЙС ЮСТ'!B:B,4,0)</f>
        <v>#REF!</v>
      </c>
      <c r="H75" s="448"/>
      <c r="I75" s="448" t="e">
        <f t="shared" si="15"/>
        <v>#REF!</v>
      </c>
      <c r="J75" s="448" t="e">
        <f t="shared" si="16"/>
        <v>#REF!</v>
      </c>
      <c r="K75" s="448" t="e">
        <f>VLOOKUP(C75,'ПРАЙС ЮСТ'!B:C,14,0)</f>
        <v>#REF!</v>
      </c>
      <c r="L75" s="448" t="e">
        <f t="shared" si="17"/>
        <v>#REF!</v>
      </c>
      <c r="M75" s="460"/>
      <c r="N75" s="460" t="e">
        <f t="shared" si="18"/>
        <v>#REF!</v>
      </c>
      <c r="O75" s="460" t="e">
        <f t="shared" si="19"/>
        <v>#REF!</v>
      </c>
    </row>
    <row r="76" spans="1:16" x14ac:dyDescent="0.25">
      <c r="B76" s="426">
        <v>6</v>
      </c>
      <c r="C76" s="452" t="e">
        <f>VLOOKUP(D76,'ПРАЙС ЮСТ'!B:C,15,0)</f>
        <v>#REF!</v>
      </c>
      <c r="D76" s="423" t="s">
        <v>443</v>
      </c>
      <c r="E76" s="426" t="s">
        <v>75</v>
      </c>
      <c r="F76" s="426">
        <v>3</v>
      </c>
      <c r="G76" s="448" t="e">
        <f>VLOOKUP(C76,'ПРАЙС ЮСТ'!B:B,4,0)</f>
        <v>#REF!</v>
      </c>
      <c r="H76" s="448"/>
      <c r="I76" s="448" t="e">
        <f t="shared" si="15"/>
        <v>#REF!</v>
      </c>
      <c r="J76" s="448" t="e">
        <f t="shared" si="16"/>
        <v>#REF!</v>
      </c>
      <c r="K76" s="448" t="e">
        <f>VLOOKUP(C76,'ПРАЙС ЮСТ'!B:C,14,0)</f>
        <v>#REF!</v>
      </c>
      <c r="L76" s="448" t="e">
        <f t="shared" si="17"/>
        <v>#REF!</v>
      </c>
      <c r="M76" s="460"/>
      <c r="N76" s="460" t="e">
        <f t="shared" si="18"/>
        <v>#REF!</v>
      </c>
      <c r="O76" s="460" t="e">
        <f t="shared" si="19"/>
        <v>#REF!</v>
      </c>
    </row>
    <row r="77" spans="1:16" x14ac:dyDescent="0.25">
      <c r="B77" s="426">
        <v>7</v>
      </c>
      <c r="C77" s="452" t="e">
        <f>VLOOKUP(D77,'ПРАЙС ЮСТ'!B:C,15,0)</f>
        <v>#REF!</v>
      </c>
      <c r="D77" s="423" t="s">
        <v>442</v>
      </c>
      <c r="E77" s="426" t="s">
        <v>75</v>
      </c>
      <c r="F77" s="426">
        <v>3</v>
      </c>
      <c r="G77" s="448" t="e">
        <f>VLOOKUP(C77,'ПРАЙС ЮСТ'!B:B,4,0)</f>
        <v>#REF!</v>
      </c>
      <c r="H77" s="448"/>
      <c r="I77" s="448" t="e">
        <f t="shared" si="15"/>
        <v>#REF!</v>
      </c>
      <c r="J77" s="448" t="e">
        <f t="shared" si="16"/>
        <v>#REF!</v>
      </c>
      <c r="K77" s="448" t="e">
        <f>VLOOKUP(C77,'ПРАЙС ЮСТ'!B:C,14,0)</f>
        <v>#REF!</v>
      </c>
      <c r="L77" s="448" t="e">
        <f t="shared" si="17"/>
        <v>#REF!</v>
      </c>
      <c r="M77" s="460"/>
      <c r="N77" s="460" t="e">
        <f t="shared" si="18"/>
        <v>#REF!</v>
      </c>
      <c r="O77" s="460" t="e">
        <f t="shared" si="19"/>
        <v>#REF!</v>
      </c>
    </row>
    <row r="78" spans="1:16" x14ac:dyDescent="0.25">
      <c r="B78" s="46">
        <v>8</v>
      </c>
      <c r="C78" s="452" t="e">
        <f>VLOOKUP(D78,'ПРАЙС ЮСТ'!B:C,15,0)</f>
        <v>#REF!</v>
      </c>
      <c r="D78" s="47" t="s">
        <v>353</v>
      </c>
      <c r="E78" s="46" t="s">
        <v>78</v>
      </c>
      <c r="F78" s="46">
        <v>1</v>
      </c>
      <c r="G78" s="448" t="e">
        <f>VLOOKUP(C78,'ПРАЙС ЮСТ'!B:B,4,0)</f>
        <v>#REF!</v>
      </c>
      <c r="H78" s="448"/>
      <c r="I78" s="448" t="e">
        <f t="shared" si="15"/>
        <v>#REF!</v>
      </c>
      <c r="J78" s="448" t="e">
        <f t="shared" si="16"/>
        <v>#REF!</v>
      </c>
      <c r="K78" s="448" t="e">
        <f>VLOOKUP(C78,'ПРАЙС ЮСТ'!B:C,14,0)</f>
        <v>#REF!</v>
      </c>
      <c r="L78" s="448" t="e">
        <f t="shared" si="17"/>
        <v>#REF!</v>
      </c>
      <c r="M78" s="460"/>
      <c r="N78" s="460" t="e">
        <f t="shared" si="18"/>
        <v>#REF!</v>
      </c>
      <c r="O78" s="460" t="e">
        <f t="shared" si="19"/>
        <v>#REF!</v>
      </c>
    </row>
    <row r="79" spans="1:16" x14ac:dyDescent="0.25">
      <c r="B79" s="46">
        <v>9</v>
      </c>
      <c r="C79" s="452" t="e">
        <f>VLOOKUP(D79,'ПРАЙС ЮСТ'!B:C,15,0)</f>
        <v>#N/A</v>
      </c>
      <c r="D79" s="47" t="s">
        <v>461</v>
      </c>
      <c r="E79" s="91"/>
      <c r="F79" s="55">
        <v>48</v>
      </c>
      <c r="G79" s="448" t="e">
        <f>VLOOKUP(C79,'ПРАЙС ЮСТ'!B:B,4,0)</f>
        <v>#N/A</v>
      </c>
      <c r="H79" s="448"/>
      <c r="I79" s="448"/>
      <c r="J79" s="448" t="e">
        <f t="shared" si="16"/>
        <v>#N/A</v>
      </c>
      <c r="K79" s="448" t="e">
        <f>VLOOKUP(C79,'ПРАЙС ЮСТ'!B:C,14,0)</f>
        <v>#N/A</v>
      </c>
      <c r="L79" s="448" t="e">
        <f t="shared" si="17"/>
        <v>#N/A</v>
      </c>
      <c r="M79" s="460"/>
      <c r="N79" s="460"/>
      <c r="O79" s="460" t="e">
        <f>L79*(1-$O$4)</f>
        <v>#N/A</v>
      </c>
    </row>
    <row r="80" spans="1:16" x14ac:dyDescent="0.25">
      <c r="B80" s="46"/>
      <c r="C80" s="453"/>
      <c r="D80" s="47" t="s">
        <v>474</v>
      </c>
      <c r="E80" s="441"/>
      <c r="F80" s="442">
        <v>1</v>
      </c>
      <c r="G80" s="449">
        <f>3222/1.2</f>
        <v>2685</v>
      </c>
      <c r="H80" s="448">
        <f>$G80*F80</f>
        <v>2685</v>
      </c>
      <c r="I80" s="448">
        <f>G80*F80</f>
        <v>2685</v>
      </c>
      <c r="J80" s="448">
        <f>F80*G80</f>
        <v>2685</v>
      </c>
      <c r="K80" s="450"/>
      <c r="L80" s="448">
        <f>G80*F80</f>
        <v>2685</v>
      </c>
      <c r="M80" s="461"/>
      <c r="N80" s="461"/>
      <c r="O80" s="461">
        <f>L80</f>
        <v>2685</v>
      </c>
    </row>
    <row r="81" spans="1:15" x14ac:dyDescent="0.25">
      <c r="B81" s="46"/>
      <c r="C81" s="453"/>
      <c r="D81" s="47" t="s">
        <v>476</v>
      </c>
      <c r="E81" s="441"/>
      <c r="F81" s="442"/>
      <c r="G81" s="449"/>
      <c r="H81" s="443"/>
      <c r="I81" s="448"/>
      <c r="J81" s="443"/>
      <c r="K81" s="443"/>
      <c r="L81" s="443">
        <f>J81</f>
        <v>0</v>
      </c>
      <c r="M81" s="462"/>
      <c r="N81" s="462"/>
      <c r="O81" s="462">
        <f>L81*(1-$O$5)</f>
        <v>0</v>
      </c>
    </row>
    <row r="82" spans="1:15" x14ac:dyDescent="0.25">
      <c r="B82" s="24"/>
      <c r="C82" s="24"/>
      <c r="D82" s="377" t="s">
        <v>460</v>
      </c>
      <c r="E82" s="46"/>
      <c r="F82" s="79"/>
      <c r="G82" s="69"/>
      <c r="H82" s="437" t="e">
        <f>SUM(H71:H81)</f>
        <v>#N/A</v>
      </c>
      <c r="I82" s="437" t="e">
        <f>SUM(I71:I81)</f>
        <v>#N/A</v>
      </c>
      <c r="J82" s="437" t="e">
        <f>SUM(J71:J81)</f>
        <v>#N/A</v>
      </c>
      <c r="K82" s="437"/>
      <c r="L82" s="437"/>
      <c r="M82" s="456" t="e">
        <f>SUM(M71:M80)</f>
        <v>#N/A</v>
      </c>
      <c r="N82" s="456" t="e">
        <f>SUM(N71:N80)</f>
        <v>#N/A</v>
      </c>
      <c r="O82" s="456" t="e">
        <f>SUM(O71:O81)</f>
        <v>#N/A</v>
      </c>
    </row>
    <row r="83" spans="1:15" x14ac:dyDescent="0.25">
      <c r="A83" s="24"/>
      <c r="B83" s="24"/>
      <c r="C83" s="24"/>
      <c r="F83" s="24"/>
      <c r="K83" s="24"/>
      <c r="L83" s="24"/>
      <c r="M83" s="24"/>
      <c r="N83" s="24"/>
      <c r="O83" s="24"/>
    </row>
    <row r="84" spans="1:15" x14ac:dyDescent="0.25">
      <c r="A84" s="24"/>
      <c r="B84" s="24"/>
      <c r="C84" s="24"/>
      <c r="F84" s="24"/>
      <c r="K84" t="s">
        <v>478</v>
      </c>
      <c r="M84" s="456" t="e">
        <f>ROUND(M82*1.2,-2)-10</f>
        <v>#N/A</v>
      </c>
      <c r="N84" s="456" t="e">
        <f>ROUND(N82*1.2,-2)-10</f>
        <v>#N/A</v>
      </c>
      <c r="O84" s="456" t="e">
        <f>ROUND(O82*1.2,-2)-10</f>
        <v>#N/A</v>
      </c>
    </row>
    <row r="85" spans="1:15" x14ac:dyDescent="0.25">
      <c r="A85" s="24"/>
      <c r="B85" s="24"/>
      <c r="C85" s="24"/>
      <c r="F85" s="24"/>
      <c r="K85" t="s">
        <v>499</v>
      </c>
      <c r="M85" s="457"/>
      <c r="N85" s="457">
        <v>872000</v>
      </c>
      <c r="O85" s="457"/>
    </row>
    <row r="86" spans="1:15" x14ac:dyDescent="0.25">
      <c r="A86" s="24"/>
      <c r="B86" s="24"/>
      <c r="C86" s="24"/>
      <c r="F86" s="24"/>
      <c r="K86" s="24" t="s">
        <v>475</v>
      </c>
      <c r="M86" s="454" t="e">
        <f>(M82-H82)/M82</f>
        <v>#N/A</v>
      </c>
      <c r="N86" s="454" t="e">
        <f>(N82-I82)/N82</f>
        <v>#N/A</v>
      </c>
      <c r="O86" s="454" t="e">
        <f>(O82-J82)/O82</f>
        <v>#N/A</v>
      </c>
    </row>
    <row r="91" spans="1:15" ht="15.75" thickBot="1" x14ac:dyDescent="0.3">
      <c r="B91" s="24"/>
      <c r="C91" s="24"/>
      <c r="D91" s="34" t="s">
        <v>243</v>
      </c>
      <c r="E91" s="34">
        <f>F93*0.28</f>
        <v>1.1200000000000001</v>
      </c>
      <c r="F91" s="34" t="s">
        <v>64</v>
      </c>
      <c r="G91" s="27"/>
      <c r="H91" s="35"/>
      <c r="I91" s="35"/>
      <c r="J91" s="27"/>
      <c r="K91" s="27"/>
      <c r="L91" s="440"/>
      <c r="M91" s="440"/>
    </row>
    <row r="92" spans="1:15" ht="60.75" thickBot="1" x14ac:dyDescent="0.3">
      <c r="B92" s="37" t="s">
        <v>33</v>
      </c>
      <c r="C92" s="451"/>
      <c r="D92" s="38" t="s">
        <v>0</v>
      </c>
      <c r="E92" s="39" t="s">
        <v>68</v>
      </c>
      <c r="F92" s="40" t="s">
        <v>69</v>
      </c>
      <c r="G92" s="41" t="s">
        <v>70</v>
      </c>
      <c r="H92" s="41" t="s">
        <v>467</v>
      </c>
      <c r="I92" s="41" t="s">
        <v>469</v>
      </c>
      <c r="J92" s="41" t="s">
        <v>459</v>
      </c>
      <c r="K92" s="41" t="s">
        <v>470</v>
      </c>
      <c r="L92" s="41" t="s">
        <v>471</v>
      </c>
      <c r="M92" s="43" t="s">
        <v>473</v>
      </c>
    </row>
    <row r="93" spans="1:15" x14ac:dyDescent="0.25">
      <c r="B93" s="48">
        <v>1</v>
      </c>
      <c r="C93" s="452" t="e">
        <f>VLOOKUP(D93,'ПРАЙС ЮСТ'!B:C,15,0)</f>
        <v>#N/A</v>
      </c>
      <c r="D93" s="47" t="s">
        <v>498</v>
      </c>
      <c r="E93" s="48" t="s">
        <v>75</v>
      </c>
      <c r="F93" s="49">
        <v>4</v>
      </c>
      <c r="G93" s="448" t="e">
        <f>(K93*(1-N2))*0.87</f>
        <v>#N/A</v>
      </c>
      <c r="H93" s="448" t="e">
        <f>G93*F93</f>
        <v>#N/A</v>
      </c>
      <c r="I93" s="448" t="e">
        <f>F93*G93</f>
        <v>#N/A</v>
      </c>
      <c r="J93" s="448" t="e">
        <f>VLOOKUP(C93,'ПРАЙС ЮСТ'!B:B,14,0)</f>
        <v>#N/A</v>
      </c>
      <c r="K93" s="448" t="e">
        <f>VLOOKUP(C93,'ПРАЙС ЮСТ'!B:C,14,0)</f>
        <v>#N/A</v>
      </c>
      <c r="L93" s="448" t="e">
        <f>K93*F93</f>
        <v>#N/A</v>
      </c>
      <c r="M93" s="448" t="e">
        <f>L93*(1-$M$2)</f>
        <v>#N/A</v>
      </c>
    </row>
    <row r="94" spans="1:15" x14ac:dyDescent="0.25">
      <c r="B94" s="46">
        <v>2</v>
      </c>
      <c r="C94" s="452" t="e">
        <f>VLOOKUP(D94,'ПРАЙС ЮСТ'!B:C,15,0)</f>
        <v>#N/A</v>
      </c>
      <c r="D94" s="47" t="s">
        <v>362</v>
      </c>
      <c r="E94" s="48" t="s">
        <v>75</v>
      </c>
      <c r="F94" s="49">
        <v>1</v>
      </c>
      <c r="G94" s="448" t="e">
        <f>VLOOKUP(C94,'ПРАЙС ЮСТ'!B:B,4,0)</f>
        <v>#N/A</v>
      </c>
      <c r="H94" s="448" t="e">
        <f>G94*F94</f>
        <v>#N/A</v>
      </c>
      <c r="I94" s="448" t="e">
        <f t="shared" ref="I94:I102" si="20">F94*G94</f>
        <v>#N/A</v>
      </c>
      <c r="J94" s="448" t="e">
        <f>VLOOKUP(C94,'ПРАЙС ЮСТ'!B:B,14,0)</f>
        <v>#N/A</v>
      </c>
      <c r="K94" s="448" t="e">
        <f t="shared" ref="K94:K101" si="21">J94*F94</f>
        <v>#N/A</v>
      </c>
      <c r="L94" s="448" t="e">
        <f>K94*(1-$L$3)</f>
        <v>#N/A</v>
      </c>
      <c r="M94" s="448" t="e">
        <f t="shared" ref="M94:M100" si="22">K94*(1-$M$3)</f>
        <v>#N/A</v>
      </c>
    </row>
    <row r="95" spans="1:15" x14ac:dyDescent="0.25">
      <c r="B95" s="46">
        <v>3</v>
      </c>
      <c r="C95" s="452" t="e">
        <f>VLOOKUP(D95,'ПРАЙС ЮСТ'!B:C,15,0)</f>
        <v>#REF!</v>
      </c>
      <c r="D95" s="47" t="s">
        <v>330</v>
      </c>
      <c r="E95" s="48" t="s">
        <v>75</v>
      </c>
      <c r="F95" s="49">
        <v>1</v>
      </c>
      <c r="G95" s="448" t="e">
        <f>VLOOKUP(C95,'ПРАЙС ЮСТ'!B:B,4,0)</f>
        <v>#REF!</v>
      </c>
      <c r="H95" s="448"/>
      <c r="I95" s="448" t="e">
        <f t="shared" si="20"/>
        <v>#REF!</v>
      </c>
      <c r="J95" s="448" t="e">
        <f>VLOOKUP(C95,'ПРАЙС ЮСТ'!B:B,14,0)</f>
        <v>#REF!</v>
      </c>
      <c r="K95" s="448" t="e">
        <f t="shared" si="21"/>
        <v>#REF!</v>
      </c>
      <c r="L95" s="448"/>
      <c r="M95" s="448" t="e">
        <f t="shared" si="22"/>
        <v>#REF!</v>
      </c>
    </row>
    <row r="96" spans="1:15" x14ac:dyDescent="0.25">
      <c r="B96" s="46">
        <v>4</v>
      </c>
      <c r="C96" s="452" t="e">
        <f>VLOOKUP(D96,'ПРАЙС ЮСТ'!B:C,15,0)</f>
        <v>#REF!</v>
      </c>
      <c r="D96" s="47" t="s">
        <v>335</v>
      </c>
      <c r="E96" s="48" t="s">
        <v>78</v>
      </c>
      <c r="F96" s="49">
        <v>10</v>
      </c>
      <c r="G96" s="448" t="e">
        <f>VLOOKUP(C96,'ПРАЙС ЮСТ'!B:B,4,0)</f>
        <v>#REF!</v>
      </c>
      <c r="H96" s="448"/>
      <c r="I96" s="448" t="e">
        <f t="shared" si="20"/>
        <v>#REF!</v>
      </c>
      <c r="J96" s="448" t="e">
        <f>VLOOKUP(C96,'ПРАЙС ЮСТ'!B:B,14,0)</f>
        <v>#REF!</v>
      </c>
      <c r="K96" s="448" t="e">
        <f t="shared" si="21"/>
        <v>#REF!</v>
      </c>
      <c r="L96" s="448"/>
      <c r="M96" s="448" t="e">
        <f t="shared" si="22"/>
        <v>#REF!</v>
      </c>
    </row>
    <row r="97" spans="1:13" x14ac:dyDescent="0.25">
      <c r="B97" s="46">
        <v>5</v>
      </c>
      <c r="C97" s="452" t="e">
        <f>VLOOKUP(D97,'ПРАЙС ЮСТ'!B:C,15,0)</f>
        <v>#REF!</v>
      </c>
      <c r="D97" s="47" t="s">
        <v>336</v>
      </c>
      <c r="E97" s="48" t="s">
        <v>78</v>
      </c>
      <c r="F97" s="49">
        <v>10</v>
      </c>
      <c r="G97" s="448" t="e">
        <f>VLOOKUP(C97,'ПРАЙС ЮСТ'!B:B,4,0)</f>
        <v>#REF!</v>
      </c>
      <c r="H97" s="448"/>
      <c r="I97" s="448" t="e">
        <f t="shared" si="20"/>
        <v>#REF!</v>
      </c>
      <c r="J97" s="448" t="e">
        <f>VLOOKUP(C97,'ПРАЙС ЮСТ'!B:B,14,0)</f>
        <v>#REF!</v>
      </c>
      <c r="K97" s="448" t="e">
        <f t="shared" si="21"/>
        <v>#REF!</v>
      </c>
      <c r="L97" s="448"/>
      <c r="M97" s="448" t="e">
        <f t="shared" si="22"/>
        <v>#REF!</v>
      </c>
    </row>
    <row r="98" spans="1:13" x14ac:dyDescent="0.25">
      <c r="B98" s="426">
        <v>6</v>
      </c>
      <c r="C98" s="452" t="e">
        <f>VLOOKUP(D98,'ПРАЙС ЮСТ'!B:C,15,0)</f>
        <v>#REF!</v>
      </c>
      <c r="D98" s="423" t="s">
        <v>443</v>
      </c>
      <c r="E98" s="424" t="s">
        <v>75</v>
      </c>
      <c r="F98" s="425">
        <v>1</v>
      </c>
      <c r="G98" s="448" t="e">
        <f>VLOOKUP(C98,'ПРАЙС ЮСТ'!B:B,4,0)</f>
        <v>#REF!</v>
      </c>
      <c r="H98" s="448"/>
      <c r="I98" s="448" t="e">
        <f t="shared" si="20"/>
        <v>#REF!</v>
      </c>
      <c r="J98" s="448" t="e">
        <f>VLOOKUP(C98,'ПРАЙС ЮСТ'!B:B,14,0)</f>
        <v>#REF!</v>
      </c>
      <c r="K98" s="448" t="e">
        <f t="shared" si="21"/>
        <v>#REF!</v>
      </c>
      <c r="L98" s="448"/>
      <c r="M98" s="448" t="e">
        <f t="shared" si="22"/>
        <v>#REF!</v>
      </c>
    </row>
    <row r="99" spans="1:13" x14ac:dyDescent="0.25">
      <c r="B99" s="426">
        <v>7</v>
      </c>
      <c r="C99" s="452" t="e">
        <f>VLOOKUP(D99,'ПРАЙС ЮСТ'!B:C,15,0)</f>
        <v>#REF!</v>
      </c>
      <c r="D99" s="423" t="s">
        <v>442</v>
      </c>
      <c r="E99" s="424" t="s">
        <v>75</v>
      </c>
      <c r="F99" s="425">
        <v>1</v>
      </c>
      <c r="G99" s="448" t="e">
        <f>VLOOKUP(C99,'ПРАЙС ЮСТ'!B:B,4,0)</f>
        <v>#REF!</v>
      </c>
      <c r="H99" s="448"/>
      <c r="I99" s="448" t="e">
        <f t="shared" si="20"/>
        <v>#REF!</v>
      </c>
      <c r="J99" s="448" t="e">
        <f>VLOOKUP(C99,'ПРАЙС ЮСТ'!B:B,14,0)</f>
        <v>#REF!</v>
      </c>
      <c r="K99" s="448" t="e">
        <f t="shared" si="21"/>
        <v>#REF!</v>
      </c>
      <c r="L99" s="448"/>
      <c r="M99" s="448" t="e">
        <f t="shared" si="22"/>
        <v>#REF!</v>
      </c>
    </row>
    <row r="100" spans="1:13" x14ac:dyDescent="0.25">
      <c r="B100" s="46">
        <v>8</v>
      </c>
      <c r="C100" s="452" t="e">
        <f>VLOOKUP(D100,'ПРАЙС ЮСТ'!B:C,15,0)</f>
        <v>#REF!</v>
      </c>
      <c r="D100" s="47" t="s">
        <v>350</v>
      </c>
      <c r="E100" s="48" t="s">
        <v>78</v>
      </c>
      <c r="F100" s="49">
        <v>1</v>
      </c>
      <c r="G100" s="448" t="e">
        <f>VLOOKUP(C100,'ПРАЙС ЮСТ'!B:B,4,0)</f>
        <v>#REF!</v>
      </c>
      <c r="H100" s="448"/>
      <c r="I100" s="448" t="e">
        <f t="shared" si="20"/>
        <v>#REF!</v>
      </c>
      <c r="J100" s="448" t="e">
        <f>VLOOKUP(C100,'ПРАЙС ЮСТ'!B:B,14,0)</f>
        <v>#REF!</v>
      </c>
      <c r="K100" s="448" t="e">
        <f t="shared" si="21"/>
        <v>#REF!</v>
      </c>
      <c r="L100" s="448"/>
      <c r="M100" s="448" t="e">
        <f t="shared" si="22"/>
        <v>#REF!</v>
      </c>
    </row>
    <row r="101" spans="1:13" x14ac:dyDescent="0.25">
      <c r="B101" s="46">
        <v>10</v>
      </c>
      <c r="C101" s="452" t="e">
        <f>VLOOKUP(D101,'ПРАЙС ЮСТ'!B:C,15,0)</f>
        <v>#N/A</v>
      </c>
      <c r="D101" s="47" t="s">
        <v>461</v>
      </c>
      <c r="E101" s="91"/>
      <c r="F101" s="55"/>
      <c r="G101" s="448" t="e">
        <f>VLOOKUP(C101,'ПРАЙС ЮСТ'!B:B,4,0)</f>
        <v>#N/A</v>
      </c>
      <c r="H101" s="448"/>
      <c r="I101" s="448" t="e">
        <f t="shared" si="20"/>
        <v>#N/A</v>
      </c>
      <c r="J101" s="448" t="e">
        <f>VLOOKUP(C101,'ПРАЙС ЮСТ'!B:B,14,0)</f>
        <v>#N/A</v>
      </c>
      <c r="K101" s="448" t="e">
        <f t="shared" si="21"/>
        <v>#N/A</v>
      </c>
      <c r="L101" s="448"/>
      <c r="M101" s="448" t="e">
        <f>K101*(1-$M$4)</f>
        <v>#N/A</v>
      </c>
    </row>
    <row r="102" spans="1:13" x14ac:dyDescent="0.25">
      <c r="B102" s="46">
        <v>10</v>
      </c>
      <c r="C102" s="453"/>
      <c r="D102" s="47" t="s">
        <v>474</v>
      </c>
      <c r="E102" s="441"/>
      <c r="F102" s="442">
        <v>1</v>
      </c>
      <c r="G102" s="448">
        <f>1646/1.2</f>
        <v>1371.6666666666667</v>
      </c>
      <c r="H102" s="448">
        <f>G102</f>
        <v>1371.6666666666667</v>
      </c>
      <c r="I102" s="448">
        <f t="shared" si="20"/>
        <v>1371.6666666666667</v>
      </c>
      <c r="J102" s="448"/>
      <c r="K102" s="448"/>
      <c r="L102" s="450"/>
      <c r="M102" s="450"/>
    </row>
    <row r="103" spans="1:13" x14ac:dyDescent="0.25">
      <c r="B103" s="46">
        <v>10</v>
      </c>
      <c r="C103" s="453"/>
      <c r="D103" s="47" t="s">
        <v>476</v>
      </c>
      <c r="E103" s="441"/>
      <c r="F103" s="442"/>
      <c r="G103" s="448"/>
      <c r="H103" s="443"/>
      <c r="I103" s="443"/>
      <c r="J103" s="443"/>
      <c r="K103" s="443"/>
      <c r="L103" s="443"/>
      <c r="M103" s="443"/>
    </row>
    <row r="104" spans="1:13" x14ac:dyDescent="0.25">
      <c r="A104" s="24"/>
      <c r="B104" s="24"/>
      <c r="C104" s="24"/>
      <c r="D104" s="376" t="s">
        <v>458</v>
      </c>
      <c r="E104" s="476"/>
      <c r="F104" s="477"/>
      <c r="G104" s="69"/>
      <c r="H104" s="437" t="e">
        <f>SUM(H93:H103)</f>
        <v>#N/A</v>
      </c>
      <c r="I104" s="437" t="e">
        <f>SUM(I93:I103)</f>
        <v>#N/A</v>
      </c>
      <c r="J104" s="437"/>
      <c r="K104" s="437"/>
      <c r="L104" s="437" t="e">
        <f>SUM(L93:L102)</f>
        <v>#N/A</v>
      </c>
      <c r="M104" s="437" t="e">
        <f>SUM(M93:M103)</f>
        <v>#N/A</v>
      </c>
    </row>
    <row r="105" spans="1:13" x14ac:dyDescent="0.25">
      <c r="J105" s="24"/>
      <c r="K105" s="24"/>
      <c r="L105" s="24"/>
      <c r="M105" s="24"/>
    </row>
    <row r="106" spans="1:13" x14ac:dyDescent="0.25">
      <c r="J106" t="s">
        <v>478</v>
      </c>
      <c r="L106" s="456" t="e">
        <f>ROUND(L104*1.2,-2)-10</f>
        <v>#N/A</v>
      </c>
      <c r="M106" s="456" t="e">
        <f>ROUND(M104*1.2,-2)-10</f>
        <v>#N/A</v>
      </c>
    </row>
    <row r="107" spans="1:13" x14ac:dyDescent="0.25">
      <c r="J107" t="s">
        <v>499</v>
      </c>
      <c r="L107" s="457"/>
      <c r="M107" s="457">
        <v>97000</v>
      </c>
    </row>
    <row r="108" spans="1:13" x14ac:dyDescent="0.25">
      <c r="J108" s="24" t="s">
        <v>475</v>
      </c>
      <c r="L108" s="454" t="e">
        <f>(L104-H104)/L104</f>
        <v>#N/A</v>
      </c>
      <c r="M108" s="454" t="e">
        <f>(M104-I104)/M104</f>
        <v>#N/A</v>
      </c>
    </row>
  </sheetData>
  <mergeCells count="4">
    <mergeCell ref="K2:L2"/>
    <mergeCell ref="K3:L3"/>
    <mergeCell ref="K4:L4"/>
    <mergeCell ref="K5:L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3">
    <pageSetUpPr fitToPage="1"/>
  </sheetPr>
  <dimension ref="A1:G103"/>
  <sheetViews>
    <sheetView topLeftCell="A22" zoomScale="85" zoomScaleNormal="85" workbookViewId="0">
      <selection activeCell="H62" sqref="H62"/>
    </sheetView>
  </sheetViews>
  <sheetFormatPr defaultRowHeight="15" x14ac:dyDescent="0.25"/>
  <cols>
    <col min="1" max="1" width="24.42578125" customWidth="1"/>
    <col min="4" max="4" width="8.85546875" customWidth="1"/>
    <col min="7" max="8" width="11.28515625" bestFit="1" customWidth="1"/>
  </cols>
  <sheetData>
    <row r="1" spans="1:7" x14ac:dyDescent="0.25">
      <c r="A1" s="464" t="s">
        <v>480</v>
      </c>
      <c r="B1" s="570"/>
      <c r="C1" s="570"/>
      <c r="D1" s="570"/>
      <c r="E1" s="465" t="s">
        <v>481</v>
      </c>
      <c r="F1" s="466" t="s">
        <v>482</v>
      </c>
      <c r="G1" s="466" t="s">
        <v>483</v>
      </c>
    </row>
    <row r="2" spans="1:7" x14ac:dyDescent="0.25">
      <c r="B2" s="571" t="s">
        <v>484</v>
      </c>
      <c r="C2" s="571"/>
      <c r="D2" s="571"/>
      <c r="E2">
        <v>1</v>
      </c>
      <c r="F2">
        <v>850</v>
      </c>
      <c r="G2">
        <f>E2*F2</f>
        <v>850</v>
      </c>
    </row>
    <row r="3" spans="1:7" x14ac:dyDescent="0.25">
      <c r="B3" s="566" t="s">
        <v>485</v>
      </c>
      <c r="C3" s="566"/>
      <c r="D3" s="566"/>
      <c r="E3">
        <v>1</v>
      </c>
      <c r="F3">
        <v>30</v>
      </c>
      <c r="G3">
        <f t="shared" ref="G3:G8" si="0">E3*F3</f>
        <v>30</v>
      </c>
    </row>
    <row r="4" spans="1:7" x14ac:dyDescent="0.25">
      <c r="B4" s="566" t="s">
        <v>486</v>
      </c>
      <c r="C4" s="566"/>
      <c r="D4" s="566"/>
      <c r="E4">
        <v>1</v>
      </c>
      <c r="F4">
        <v>215</v>
      </c>
      <c r="G4">
        <f t="shared" si="0"/>
        <v>215</v>
      </c>
    </row>
    <row r="5" spans="1:7" x14ac:dyDescent="0.25">
      <c r="B5" s="566" t="s">
        <v>487</v>
      </c>
      <c r="C5" s="566"/>
      <c r="D5" s="566"/>
      <c r="E5">
        <v>25</v>
      </c>
      <c r="F5">
        <v>1</v>
      </c>
      <c r="G5">
        <f t="shared" si="0"/>
        <v>25</v>
      </c>
    </row>
    <row r="6" spans="1:7" x14ac:dyDescent="0.25">
      <c r="B6" s="566" t="s">
        <v>488</v>
      </c>
      <c r="C6" s="566"/>
      <c r="D6" s="566"/>
      <c r="E6">
        <v>20</v>
      </c>
      <c r="F6">
        <v>1.6</v>
      </c>
      <c r="G6">
        <f t="shared" si="0"/>
        <v>32</v>
      </c>
    </row>
    <row r="7" spans="1:7" x14ac:dyDescent="0.25">
      <c r="B7" s="566" t="s">
        <v>489</v>
      </c>
      <c r="C7" s="566"/>
      <c r="D7" s="566"/>
      <c r="E7">
        <v>1</v>
      </c>
      <c r="F7">
        <v>398</v>
      </c>
      <c r="G7">
        <f t="shared" si="0"/>
        <v>398</v>
      </c>
    </row>
    <row r="8" spans="1:7" x14ac:dyDescent="0.25">
      <c r="B8" s="566" t="s">
        <v>490</v>
      </c>
      <c r="C8" s="566"/>
      <c r="D8" s="566"/>
      <c r="E8">
        <v>0</v>
      </c>
      <c r="F8">
        <v>783.4</v>
      </c>
      <c r="G8">
        <f t="shared" si="0"/>
        <v>0</v>
      </c>
    </row>
    <row r="9" spans="1:7" x14ac:dyDescent="0.25">
      <c r="B9" s="567"/>
      <c r="C9" s="567"/>
      <c r="D9" s="567"/>
      <c r="G9" s="467">
        <f>SUM(G2:G8)</f>
        <v>1550</v>
      </c>
    </row>
    <row r="10" spans="1:7" x14ac:dyDescent="0.25">
      <c r="A10" s="464" t="s">
        <v>297</v>
      </c>
      <c r="B10" s="569"/>
      <c r="C10" s="569"/>
      <c r="D10" s="569"/>
      <c r="E10" s="569"/>
      <c r="F10" s="569"/>
      <c r="G10" s="569"/>
    </row>
    <row r="11" spans="1:7" x14ac:dyDescent="0.25">
      <c r="B11" s="566" t="s">
        <v>484</v>
      </c>
      <c r="C11" s="566"/>
      <c r="D11" s="566"/>
      <c r="E11">
        <v>1</v>
      </c>
      <c r="F11">
        <v>850</v>
      </c>
      <c r="G11">
        <f>E11*F11</f>
        <v>850</v>
      </c>
    </row>
    <row r="12" spans="1:7" x14ac:dyDescent="0.25">
      <c r="B12" s="566" t="s">
        <v>485</v>
      </c>
      <c r="C12" s="566"/>
      <c r="D12" s="566"/>
      <c r="E12">
        <v>1</v>
      </c>
      <c r="F12">
        <v>30</v>
      </c>
      <c r="G12">
        <f t="shared" ref="G12:G17" si="1">E12*F12</f>
        <v>30</v>
      </c>
    </row>
    <row r="13" spans="1:7" x14ac:dyDescent="0.25">
      <c r="B13" s="566" t="s">
        <v>486</v>
      </c>
      <c r="C13" s="566"/>
      <c r="D13" s="566"/>
      <c r="E13">
        <v>1</v>
      </c>
      <c r="F13">
        <v>215</v>
      </c>
      <c r="G13">
        <f t="shared" si="1"/>
        <v>215</v>
      </c>
    </row>
    <row r="14" spans="1:7" x14ac:dyDescent="0.25">
      <c r="B14" s="566" t="s">
        <v>487</v>
      </c>
      <c r="C14" s="566"/>
      <c r="D14" s="566"/>
      <c r="E14">
        <v>25</v>
      </c>
      <c r="F14">
        <v>1</v>
      </c>
      <c r="G14">
        <f t="shared" si="1"/>
        <v>25</v>
      </c>
    </row>
    <row r="15" spans="1:7" x14ac:dyDescent="0.25">
      <c r="B15" s="566" t="s">
        <v>488</v>
      </c>
      <c r="C15" s="566"/>
      <c r="D15" s="566"/>
      <c r="E15">
        <v>30</v>
      </c>
      <c r="F15">
        <v>1.6</v>
      </c>
      <c r="G15">
        <f t="shared" si="1"/>
        <v>48</v>
      </c>
    </row>
    <row r="16" spans="1:7" x14ac:dyDescent="0.25">
      <c r="B16" s="566" t="s">
        <v>489</v>
      </c>
      <c r="C16" s="566"/>
      <c r="D16" s="566"/>
      <c r="E16">
        <v>1</v>
      </c>
      <c r="F16">
        <v>398</v>
      </c>
      <c r="G16">
        <f t="shared" si="1"/>
        <v>398</v>
      </c>
    </row>
    <row r="17" spans="1:7" x14ac:dyDescent="0.25">
      <c r="B17" s="566" t="s">
        <v>490</v>
      </c>
      <c r="C17" s="566"/>
      <c r="D17" s="566"/>
      <c r="E17">
        <v>0</v>
      </c>
      <c r="F17">
        <v>783.4</v>
      </c>
      <c r="G17">
        <f t="shared" si="1"/>
        <v>0</v>
      </c>
    </row>
    <row r="18" spans="1:7" x14ac:dyDescent="0.25">
      <c r="B18" s="566"/>
      <c r="C18" s="566"/>
      <c r="D18" s="566"/>
      <c r="G18" s="467">
        <f>SUM(G11:G17)</f>
        <v>1566</v>
      </c>
    </row>
    <row r="19" spans="1:7" x14ac:dyDescent="0.25">
      <c r="A19" s="464" t="s">
        <v>298</v>
      </c>
      <c r="B19" s="569"/>
      <c r="C19" s="569"/>
      <c r="D19" s="569"/>
      <c r="E19" s="569"/>
      <c r="F19" s="569"/>
      <c r="G19" s="569"/>
    </row>
    <row r="20" spans="1:7" x14ac:dyDescent="0.25">
      <c r="B20" s="566" t="s">
        <v>484</v>
      </c>
      <c r="C20" s="566"/>
      <c r="D20" s="566"/>
      <c r="E20">
        <v>1</v>
      </c>
      <c r="F20">
        <v>850</v>
      </c>
      <c r="G20">
        <f>E20*F20</f>
        <v>850</v>
      </c>
    </row>
    <row r="21" spans="1:7" x14ac:dyDescent="0.25">
      <c r="A21" s="468"/>
      <c r="B21" s="566" t="s">
        <v>485</v>
      </c>
      <c r="C21" s="566"/>
      <c r="D21" s="566"/>
      <c r="E21">
        <v>1</v>
      </c>
      <c r="F21">
        <v>30</v>
      </c>
      <c r="G21">
        <f t="shared" ref="G21:G26" si="2">E21*F21</f>
        <v>30</v>
      </c>
    </row>
    <row r="22" spans="1:7" x14ac:dyDescent="0.25">
      <c r="B22" s="566" t="s">
        <v>486</v>
      </c>
      <c r="C22" s="566"/>
      <c r="D22" s="566"/>
      <c r="E22">
        <v>1</v>
      </c>
      <c r="F22">
        <v>215</v>
      </c>
      <c r="G22">
        <f t="shared" si="2"/>
        <v>215</v>
      </c>
    </row>
    <row r="23" spans="1:7" x14ac:dyDescent="0.25">
      <c r="B23" s="566" t="s">
        <v>487</v>
      </c>
      <c r="C23" s="566"/>
      <c r="D23" s="566"/>
      <c r="E23">
        <v>25</v>
      </c>
      <c r="F23">
        <v>1</v>
      </c>
      <c r="G23">
        <f t="shared" si="2"/>
        <v>25</v>
      </c>
    </row>
    <row r="24" spans="1:7" x14ac:dyDescent="0.25">
      <c r="B24" s="566" t="s">
        <v>488</v>
      </c>
      <c r="C24" s="566"/>
      <c r="D24" s="566"/>
      <c r="E24">
        <v>40</v>
      </c>
      <c r="F24">
        <v>1.6</v>
      </c>
      <c r="G24">
        <f t="shared" si="2"/>
        <v>64</v>
      </c>
    </row>
    <row r="25" spans="1:7" x14ac:dyDescent="0.25">
      <c r="B25" s="566" t="s">
        <v>489</v>
      </c>
      <c r="C25" s="566"/>
      <c r="D25" s="566"/>
      <c r="E25">
        <v>1</v>
      </c>
      <c r="F25">
        <v>398</v>
      </c>
      <c r="G25">
        <f t="shared" si="2"/>
        <v>398</v>
      </c>
    </row>
    <row r="26" spans="1:7" x14ac:dyDescent="0.25">
      <c r="B26" s="566" t="s">
        <v>490</v>
      </c>
      <c r="C26" s="566"/>
      <c r="D26" s="566"/>
      <c r="E26">
        <v>0</v>
      </c>
      <c r="F26">
        <v>783.4</v>
      </c>
      <c r="G26">
        <f t="shared" si="2"/>
        <v>0</v>
      </c>
    </row>
    <row r="27" spans="1:7" x14ac:dyDescent="0.25">
      <c r="B27" s="566"/>
      <c r="C27" s="566"/>
      <c r="D27" s="566"/>
      <c r="G27" s="467">
        <f>SUM(G20:G26)</f>
        <v>1582</v>
      </c>
    </row>
    <row r="28" spans="1:7" x14ac:dyDescent="0.25">
      <c r="A28" s="464" t="s">
        <v>299</v>
      </c>
      <c r="B28" s="569"/>
      <c r="C28" s="569"/>
      <c r="D28" s="569"/>
      <c r="E28" s="569"/>
      <c r="F28" s="569"/>
      <c r="G28" s="569"/>
    </row>
    <row r="29" spans="1:7" x14ac:dyDescent="0.25">
      <c r="B29" s="566" t="s">
        <v>484</v>
      </c>
      <c r="C29" s="566"/>
      <c r="D29" s="566"/>
      <c r="E29">
        <v>1</v>
      </c>
      <c r="F29">
        <v>850</v>
      </c>
      <c r="G29">
        <f>E29*F29</f>
        <v>850</v>
      </c>
    </row>
    <row r="30" spans="1:7" x14ac:dyDescent="0.25">
      <c r="B30" s="566" t="s">
        <v>485</v>
      </c>
      <c r="C30" s="566"/>
      <c r="D30" s="566"/>
      <c r="E30">
        <v>1</v>
      </c>
      <c r="F30">
        <v>30</v>
      </c>
      <c r="G30">
        <f t="shared" ref="G30:G35" si="3">E30*F30</f>
        <v>30</v>
      </c>
    </row>
    <row r="31" spans="1:7" x14ac:dyDescent="0.25">
      <c r="B31" s="566" t="s">
        <v>486</v>
      </c>
      <c r="C31" s="566"/>
      <c r="D31" s="566"/>
      <c r="E31">
        <v>1</v>
      </c>
      <c r="F31">
        <v>215</v>
      </c>
      <c r="G31">
        <f t="shared" si="3"/>
        <v>215</v>
      </c>
    </row>
    <row r="32" spans="1:7" x14ac:dyDescent="0.25">
      <c r="B32" s="566" t="s">
        <v>487</v>
      </c>
      <c r="C32" s="566"/>
      <c r="D32" s="566"/>
      <c r="E32">
        <v>28</v>
      </c>
      <c r="F32">
        <v>1</v>
      </c>
      <c r="G32">
        <f t="shared" si="3"/>
        <v>28</v>
      </c>
    </row>
    <row r="33" spans="1:7" x14ac:dyDescent="0.25">
      <c r="B33" s="566" t="s">
        <v>488</v>
      </c>
      <c r="C33" s="566"/>
      <c r="D33" s="566"/>
      <c r="E33">
        <v>50</v>
      </c>
      <c r="F33">
        <v>1.6</v>
      </c>
      <c r="G33">
        <f t="shared" si="3"/>
        <v>80</v>
      </c>
    </row>
    <row r="34" spans="1:7" x14ac:dyDescent="0.25">
      <c r="B34" s="566" t="s">
        <v>491</v>
      </c>
      <c r="C34" s="566"/>
      <c r="D34" s="566"/>
      <c r="E34">
        <v>1</v>
      </c>
      <c r="F34">
        <v>501</v>
      </c>
      <c r="G34">
        <f t="shared" si="3"/>
        <v>501</v>
      </c>
    </row>
    <row r="35" spans="1:7" x14ac:dyDescent="0.25">
      <c r="B35" s="566" t="s">
        <v>490</v>
      </c>
      <c r="C35" s="566"/>
      <c r="D35" s="566"/>
      <c r="E35">
        <v>0</v>
      </c>
      <c r="F35">
        <v>783.4</v>
      </c>
      <c r="G35">
        <f t="shared" si="3"/>
        <v>0</v>
      </c>
    </row>
    <row r="36" spans="1:7" x14ac:dyDescent="0.25">
      <c r="B36" s="566"/>
      <c r="C36" s="566"/>
      <c r="D36" s="566"/>
      <c r="G36" s="467">
        <f>SUM(G29:G35)</f>
        <v>1704</v>
      </c>
    </row>
    <row r="37" spans="1:7" x14ac:dyDescent="0.25">
      <c r="A37" s="464" t="s">
        <v>300</v>
      </c>
      <c r="B37" s="569"/>
      <c r="C37" s="569"/>
      <c r="D37" s="569"/>
      <c r="E37" s="569"/>
      <c r="F37" s="569"/>
      <c r="G37" s="569"/>
    </row>
    <row r="38" spans="1:7" x14ac:dyDescent="0.25">
      <c r="B38" s="566" t="s">
        <v>484</v>
      </c>
      <c r="C38" s="566"/>
      <c r="D38" s="566"/>
      <c r="E38">
        <v>1</v>
      </c>
      <c r="F38">
        <v>850</v>
      </c>
      <c r="G38">
        <f>E38*F38</f>
        <v>850</v>
      </c>
    </row>
    <row r="39" spans="1:7" x14ac:dyDescent="0.25">
      <c r="B39" s="566" t="s">
        <v>485</v>
      </c>
      <c r="C39" s="566"/>
      <c r="D39" s="566"/>
      <c r="E39">
        <v>1</v>
      </c>
      <c r="F39">
        <v>30</v>
      </c>
      <c r="G39">
        <f t="shared" ref="G39:G44" si="4">E39*F39</f>
        <v>30</v>
      </c>
    </row>
    <row r="40" spans="1:7" x14ac:dyDescent="0.25">
      <c r="B40" s="566" t="s">
        <v>486</v>
      </c>
      <c r="C40" s="566"/>
      <c r="D40" s="566"/>
      <c r="E40">
        <v>1</v>
      </c>
      <c r="F40">
        <v>215</v>
      </c>
      <c r="G40">
        <f t="shared" si="4"/>
        <v>215</v>
      </c>
    </row>
    <row r="41" spans="1:7" x14ac:dyDescent="0.25">
      <c r="B41" s="566" t="s">
        <v>487</v>
      </c>
      <c r="C41" s="566"/>
      <c r="D41" s="566"/>
      <c r="E41">
        <v>28</v>
      </c>
      <c r="F41">
        <v>1</v>
      </c>
      <c r="G41">
        <f t="shared" si="4"/>
        <v>28</v>
      </c>
    </row>
    <row r="42" spans="1:7" x14ac:dyDescent="0.25">
      <c r="B42" s="566" t="s">
        <v>488</v>
      </c>
      <c r="C42" s="566"/>
      <c r="D42" s="566"/>
      <c r="E42">
        <v>60</v>
      </c>
      <c r="F42">
        <v>1.6</v>
      </c>
      <c r="G42">
        <f t="shared" si="4"/>
        <v>96</v>
      </c>
    </row>
    <row r="43" spans="1:7" x14ac:dyDescent="0.25">
      <c r="B43" s="566" t="s">
        <v>491</v>
      </c>
      <c r="C43" s="566"/>
      <c r="D43" s="566"/>
      <c r="E43">
        <v>1</v>
      </c>
      <c r="F43">
        <v>501</v>
      </c>
      <c r="G43">
        <f t="shared" si="4"/>
        <v>501</v>
      </c>
    </row>
    <row r="44" spans="1:7" x14ac:dyDescent="0.25">
      <c r="B44" s="566" t="s">
        <v>490</v>
      </c>
      <c r="C44" s="566"/>
      <c r="D44" s="566"/>
      <c r="E44">
        <v>0</v>
      </c>
      <c r="F44">
        <v>783.4</v>
      </c>
      <c r="G44">
        <f t="shared" si="4"/>
        <v>0</v>
      </c>
    </row>
    <row r="45" spans="1:7" x14ac:dyDescent="0.25">
      <c r="B45" s="566"/>
      <c r="C45" s="566"/>
      <c r="D45" s="566"/>
      <c r="G45" s="467">
        <f>SUM(G38:G44)</f>
        <v>1720</v>
      </c>
    </row>
    <row r="46" spans="1:7" x14ac:dyDescent="0.25">
      <c r="A46" s="464" t="s">
        <v>300</v>
      </c>
      <c r="B46" s="569"/>
      <c r="C46" s="569"/>
      <c r="D46" s="569"/>
      <c r="E46" s="569"/>
      <c r="F46" s="569"/>
      <c r="G46" s="569"/>
    </row>
    <row r="47" spans="1:7" x14ac:dyDescent="0.25">
      <c r="B47" s="566" t="s">
        <v>484</v>
      </c>
      <c r="C47" s="566"/>
      <c r="D47" s="566"/>
      <c r="E47">
        <v>1</v>
      </c>
      <c r="F47">
        <v>850</v>
      </c>
      <c r="G47">
        <f>E47*F47</f>
        <v>850</v>
      </c>
    </row>
    <row r="48" spans="1:7" x14ac:dyDescent="0.25">
      <c r="B48" s="566" t="s">
        <v>485</v>
      </c>
      <c r="C48" s="566"/>
      <c r="D48" s="566"/>
      <c r="E48">
        <v>1</v>
      </c>
      <c r="F48">
        <v>30</v>
      </c>
      <c r="G48">
        <f t="shared" ref="G48:G53" si="5">E48*F48</f>
        <v>30</v>
      </c>
    </row>
    <row r="49" spans="1:7" x14ac:dyDescent="0.25">
      <c r="B49" s="566" t="s">
        <v>486</v>
      </c>
      <c r="C49" s="566"/>
      <c r="D49" s="566"/>
      <c r="E49">
        <v>1</v>
      </c>
      <c r="F49">
        <v>215</v>
      </c>
      <c r="G49">
        <f t="shared" si="5"/>
        <v>215</v>
      </c>
    </row>
    <row r="50" spans="1:7" x14ac:dyDescent="0.25">
      <c r="B50" s="566" t="s">
        <v>487</v>
      </c>
      <c r="C50" s="566"/>
      <c r="D50" s="566"/>
      <c r="E50">
        <v>28</v>
      </c>
      <c r="F50">
        <v>1</v>
      </c>
      <c r="G50">
        <f t="shared" si="5"/>
        <v>28</v>
      </c>
    </row>
    <row r="51" spans="1:7" x14ac:dyDescent="0.25">
      <c r="B51" s="566" t="s">
        <v>488</v>
      </c>
      <c r="C51" s="566"/>
      <c r="D51" s="566"/>
      <c r="E51">
        <v>70</v>
      </c>
      <c r="F51">
        <v>1.6</v>
      </c>
      <c r="G51">
        <f t="shared" si="5"/>
        <v>112</v>
      </c>
    </row>
    <row r="52" spans="1:7" x14ac:dyDescent="0.25">
      <c r="B52" s="566" t="s">
        <v>491</v>
      </c>
      <c r="C52" s="566"/>
      <c r="D52" s="566"/>
      <c r="E52">
        <v>1</v>
      </c>
      <c r="F52">
        <v>501</v>
      </c>
      <c r="G52">
        <f t="shared" si="5"/>
        <v>501</v>
      </c>
    </row>
    <row r="53" spans="1:7" x14ac:dyDescent="0.25">
      <c r="B53" s="566" t="s">
        <v>490</v>
      </c>
      <c r="C53" s="566"/>
      <c r="D53" s="566"/>
      <c r="E53">
        <v>0</v>
      </c>
      <c r="F53">
        <v>783.4</v>
      </c>
      <c r="G53">
        <f t="shared" si="5"/>
        <v>0</v>
      </c>
    </row>
    <row r="54" spans="1:7" x14ac:dyDescent="0.25">
      <c r="B54" s="566"/>
      <c r="C54" s="566"/>
      <c r="D54" s="566"/>
      <c r="G54" s="467">
        <f>SUM(G47:G53)</f>
        <v>1736</v>
      </c>
    </row>
    <row r="55" spans="1:7" x14ac:dyDescent="0.25">
      <c r="A55" s="469" t="s">
        <v>302</v>
      </c>
      <c r="B55" s="569"/>
      <c r="C55" s="569"/>
      <c r="D55" s="569"/>
      <c r="E55" s="470" t="s">
        <v>481</v>
      </c>
      <c r="F55" s="471" t="s">
        <v>482</v>
      </c>
      <c r="G55" s="471" t="s">
        <v>492</v>
      </c>
    </row>
    <row r="56" spans="1:7" x14ac:dyDescent="0.25">
      <c r="B56" s="566" t="s">
        <v>484</v>
      </c>
      <c r="C56" s="566"/>
      <c r="D56" s="566"/>
      <c r="E56">
        <v>1</v>
      </c>
      <c r="F56">
        <v>850</v>
      </c>
      <c r="G56">
        <f>E56*F56</f>
        <v>850</v>
      </c>
    </row>
    <row r="57" spans="1:7" x14ac:dyDescent="0.25">
      <c r="B57" s="566" t="s">
        <v>485</v>
      </c>
      <c r="C57" s="566"/>
      <c r="D57" s="566"/>
      <c r="E57">
        <v>1</v>
      </c>
      <c r="F57">
        <v>30</v>
      </c>
      <c r="G57">
        <f t="shared" ref="G57:G62" si="6">E57*F57</f>
        <v>30</v>
      </c>
    </row>
    <row r="58" spans="1:7" x14ac:dyDescent="0.25">
      <c r="B58" s="566" t="s">
        <v>486</v>
      </c>
      <c r="C58" s="566"/>
      <c r="D58" s="566"/>
      <c r="E58">
        <v>1</v>
      </c>
      <c r="F58">
        <v>215</v>
      </c>
      <c r="G58">
        <f t="shared" si="6"/>
        <v>215</v>
      </c>
    </row>
    <row r="59" spans="1:7" x14ac:dyDescent="0.25">
      <c r="B59" s="566" t="s">
        <v>487</v>
      </c>
      <c r="C59" s="566"/>
      <c r="D59" s="566"/>
      <c r="E59">
        <v>25</v>
      </c>
      <c r="F59">
        <v>1</v>
      </c>
      <c r="G59">
        <f t="shared" si="6"/>
        <v>25</v>
      </c>
    </row>
    <row r="60" spans="1:7" x14ac:dyDescent="0.25">
      <c r="B60" s="566" t="s">
        <v>488</v>
      </c>
      <c r="C60" s="566"/>
      <c r="D60" s="566"/>
      <c r="E60">
        <v>80</v>
      </c>
      <c r="F60">
        <v>1.6</v>
      </c>
      <c r="G60">
        <f t="shared" si="6"/>
        <v>128</v>
      </c>
    </row>
    <row r="61" spans="1:7" x14ac:dyDescent="0.25">
      <c r="B61" s="566" t="s">
        <v>489</v>
      </c>
      <c r="C61" s="566"/>
      <c r="D61" s="566"/>
      <c r="E61">
        <v>1</v>
      </c>
      <c r="F61">
        <v>398</v>
      </c>
      <c r="G61">
        <f t="shared" si="6"/>
        <v>398</v>
      </c>
    </row>
    <row r="62" spans="1:7" x14ac:dyDescent="0.25">
      <c r="B62" s="566" t="s">
        <v>490</v>
      </c>
      <c r="C62" s="566"/>
      <c r="D62" s="566"/>
      <c r="E62">
        <v>0</v>
      </c>
      <c r="F62">
        <v>783.4</v>
      </c>
      <c r="G62">
        <f t="shared" si="6"/>
        <v>0</v>
      </c>
    </row>
    <row r="63" spans="1:7" x14ac:dyDescent="0.25">
      <c r="B63" s="566"/>
      <c r="C63" s="566"/>
      <c r="D63" s="566"/>
      <c r="G63" s="467">
        <f>SUM(G56:G62)</f>
        <v>1646</v>
      </c>
    </row>
    <row r="64" spans="1:7" x14ac:dyDescent="0.25">
      <c r="A64" s="469" t="s">
        <v>303</v>
      </c>
      <c r="B64" s="569"/>
      <c r="C64" s="569"/>
      <c r="D64" s="569"/>
      <c r="E64" s="471"/>
      <c r="F64" s="471"/>
      <c r="G64" s="471"/>
    </row>
    <row r="65" spans="1:7" x14ac:dyDescent="0.25">
      <c r="B65" s="566" t="s">
        <v>484</v>
      </c>
      <c r="C65" s="566"/>
      <c r="D65" s="566"/>
      <c r="E65">
        <v>1</v>
      </c>
      <c r="F65">
        <v>850</v>
      </c>
      <c r="G65">
        <f>E65*F65</f>
        <v>850</v>
      </c>
    </row>
    <row r="66" spans="1:7" x14ac:dyDescent="0.25">
      <c r="B66" s="566" t="s">
        <v>485</v>
      </c>
      <c r="C66" s="566"/>
      <c r="D66" s="566"/>
      <c r="E66">
        <v>1</v>
      </c>
      <c r="F66">
        <v>30</v>
      </c>
      <c r="G66">
        <f t="shared" ref="G66:G71" si="7">E66*F66</f>
        <v>30</v>
      </c>
    </row>
    <row r="67" spans="1:7" x14ac:dyDescent="0.25">
      <c r="B67" s="566" t="s">
        <v>486</v>
      </c>
      <c r="C67" s="566"/>
      <c r="D67" s="566"/>
      <c r="E67">
        <v>1</v>
      </c>
      <c r="F67">
        <v>215</v>
      </c>
      <c r="G67">
        <f t="shared" si="7"/>
        <v>215</v>
      </c>
    </row>
    <row r="68" spans="1:7" x14ac:dyDescent="0.25">
      <c r="B68" s="566" t="s">
        <v>487</v>
      </c>
      <c r="C68" s="566"/>
      <c r="D68" s="566"/>
      <c r="E68">
        <v>28</v>
      </c>
      <c r="F68">
        <v>1</v>
      </c>
      <c r="G68">
        <f t="shared" si="7"/>
        <v>28</v>
      </c>
    </row>
    <row r="69" spans="1:7" x14ac:dyDescent="0.25">
      <c r="B69" s="566" t="s">
        <v>488</v>
      </c>
      <c r="C69" s="566"/>
      <c r="D69" s="566"/>
      <c r="E69">
        <v>100</v>
      </c>
      <c r="F69">
        <v>1.6</v>
      </c>
      <c r="G69">
        <f t="shared" si="7"/>
        <v>160</v>
      </c>
    </row>
    <row r="70" spans="1:7" x14ac:dyDescent="0.25">
      <c r="B70" s="566" t="s">
        <v>491</v>
      </c>
      <c r="C70" s="566"/>
      <c r="D70" s="566"/>
      <c r="E70">
        <v>1</v>
      </c>
      <c r="F70">
        <v>501</v>
      </c>
      <c r="G70">
        <f t="shared" si="7"/>
        <v>501</v>
      </c>
    </row>
    <row r="71" spans="1:7" x14ac:dyDescent="0.25">
      <c r="B71" s="566" t="s">
        <v>490</v>
      </c>
      <c r="C71" s="566"/>
      <c r="D71" s="566"/>
      <c r="E71">
        <v>0</v>
      </c>
      <c r="F71">
        <v>783.4</v>
      </c>
      <c r="G71">
        <f t="shared" si="7"/>
        <v>0</v>
      </c>
    </row>
    <row r="72" spans="1:7" x14ac:dyDescent="0.25">
      <c r="B72" s="566"/>
      <c r="C72" s="566"/>
      <c r="D72" s="566"/>
      <c r="G72" s="467">
        <f>SUM(G65:G71)</f>
        <v>1784</v>
      </c>
    </row>
    <row r="73" spans="1:7" x14ac:dyDescent="0.25">
      <c r="A73" s="469" t="s">
        <v>304</v>
      </c>
      <c r="B73" s="569"/>
      <c r="C73" s="569"/>
      <c r="D73" s="569"/>
      <c r="E73" s="471"/>
      <c r="F73" s="471"/>
      <c r="G73" s="471"/>
    </row>
    <row r="74" spans="1:7" x14ac:dyDescent="0.25">
      <c r="B74" s="566" t="s">
        <v>484</v>
      </c>
      <c r="C74" s="566"/>
      <c r="D74" s="566"/>
      <c r="E74">
        <v>1</v>
      </c>
      <c r="F74">
        <v>850</v>
      </c>
      <c r="G74">
        <f>E74*F74</f>
        <v>850</v>
      </c>
    </row>
    <row r="75" spans="1:7" x14ac:dyDescent="0.25">
      <c r="B75" s="566" t="s">
        <v>485</v>
      </c>
      <c r="C75" s="566"/>
      <c r="D75" s="566"/>
      <c r="E75">
        <v>1</v>
      </c>
      <c r="F75">
        <v>30</v>
      </c>
      <c r="G75">
        <f t="shared" ref="G75:G80" si="8">E75*F75</f>
        <v>30</v>
      </c>
    </row>
    <row r="76" spans="1:7" x14ac:dyDescent="0.25">
      <c r="B76" s="566" t="s">
        <v>486</v>
      </c>
      <c r="C76" s="566"/>
      <c r="D76" s="566"/>
      <c r="E76">
        <v>1</v>
      </c>
      <c r="F76">
        <v>215</v>
      </c>
      <c r="G76">
        <f t="shared" si="8"/>
        <v>215</v>
      </c>
    </row>
    <row r="77" spans="1:7" x14ac:dyDescent="0.25">
      <c r="B77" s="566" t="s">
        <v>487</v>
      </c>
      <c r="C77" s="566"/>
      <c r="D77" s="566"/>
      <c r="E77">
        <v>35</v>
      </c>
      <c r="F77">
        <v>1</v>
      </c>
      <c r="G77">
        <f t="shared" si="8"/>
        <v>35</v>
      </c>
    </row>
    <row r="78" spans="1:7" x14ac:dyDescent="0.25">
      <c r="B78" s="566" t="s">
        <v>488</v>
      </c>
      <c r="C78" s="566"/>
      <c r="D78" s="566"/>
      <c r="E78">
        <v>140</v>
      </c>
      <c r="F78">
        <v>1.6</v>
      </c>
      <c r="G78">
        <f t="shared" si="8"/>
        <v>224</v>
      </c>
    </row>
    <row r="79" spans="1:7" x14ac:dyDescent="0.25">
      <c r="B79" s="566" t="s">
        <v>493</v>
      </c>
      <c r="C79" s="566"/>
      <c r="D79" s="566"/>
      <c r="E79">
        <v>1</v>
      </c>
      <c r="F79">
        <v>661</v>
      </c>
      <c r="G79">
        <f t="shared" si="8"/>
        <v>661</v>
      </c>
    </row>
    <row r="80" spans="1:7" x14ac:dyDescent="0.25">
      <c r="B80" s="566" t="s">
        <v>490</v>
      </c>
      <c r="C80" s="566"/>
      <c r="D80" s="566"/>
      <c r="E80">
        <v>0</v>
      </c>
      <c r="F80">
        <v>783.4</v>
      </c>
      <c r="G80">
        <f t="shared" si="8"/>
        <v>0</v>
      </c>
    </row>
    <row r="81" spans="1:7" x14ac:dyDescent="0.25">
      <c r="B81" s="566"/>
      <c r="C81" s="566"/>
      <c r="D81" s="566"/>
      <c r="G81" s="467">
        <f>SUM(G74:G80)</f>
        <v>2015</v>
      </c>
    </row>
    <row r="82" spans="1:7" x14ac:dyDescent="0.25">
      <c r="A82" s="469" t="s">
        <v>314</v>
      </c>
      <c r="B82" s="569"/>
      <c r="C82" s="569"/>
      <c r="D82" s="569"/>
      <c r="E82" s="471"/>
      <c r="F82" s="471"/>
      <c r="G82" s="471"/>
    </row>
    <row r="83" spans="1:7" x14ac:dyDescent="0.25">
      <c r="A83" s="463" t="s">
        <v>494</v>
      </c>
      <c r="B83" s="566" t="s">
        <v>484</v>
      </c>
      <c r="C83" s="566"/>
      <c r="D83" s="566"/>
      <c r="E83">
        <v>1</v>
      </c>
      <c r="F83">
        <v>850</v>
      </c>
      <c r="G83">
        <f>E83*F83</f>
        <v>850</v>
      </c>
    </row>
    <row r="84" spans="1:7" x14ac:dyDescent="0.25">
      <c r="B84" s="566" t="s">
        <v>485</v>
      </c>
      <c r="C84" s="566"/>
      <c r="D84" s="566"/>
      <c r="E84">
        <v>1</v>
      </c>
      <c r="F84">
        <v>30</v>
      </c>
      <c r="G84">
        <f t="shared" ref="G84:G90" si="9">E84*F84</f>
        <v>30</v>
      </c>
    </row>
    <row r="85" spans="1:7" x14ac:dyDescent="0.25">
      <c r="B85" s="566" t="s">
        <v>486</v>
      </c>
      <c r="C85" s="566"/>
      <c r="D85" s="566"/>
      <c r="E85">
        <v>1</v>
      </c>
      <c r="F85">
        <v>215</v>
      </c>
      <c r="G85">
        <f t="shared" si="9"/>
        <v>215</v>
      </c>
    </row>
    <row r="86" spans="1:7" x14ac:dyDescent="0.25">
      <c r="B86" s="566" t="s">
        <v>487</v>
      </c>
      <c r="C86" s="566"/>
      <c r="D86" s="566"/>
      <c r="E86">
        <v>63</v>
      </c>
      <c r="F86">
        <v>1</v>
      </c>
      <c r="G86">
        <f t="shared" si="9"/>
        <v>63</v>
      </c>
    </row>
    <row r="87" spans="1:7" x14ac:dyDescent="0.25">
      <c r="B87" s="566" t="s">
        <v>488</v>
      </c>
      <c r="C87" s="566"/>
      <c r="D87" s="566"/>
      <c r="E87">
        <v>140</v>
      </c>
      <c r="F87">
        <v>1.6</v>
      </c>
      <c r="G87">
        <f t="shared" si="9"/>
        <v>224</v>
      </c>
    </row>
    <row r="88" spans="1:7" x14ac:dyDescent="0.25">
      <c r="B88" s="566" t="s">
        <v>491</v>
      </c>
      <c r="C88" s="566"/>
      <c r="D88" s="566"/>
      <c r="E88">
        <v>1</v>
      </c>
      <c r="F88">
        <v>501</v>
      </c>
      <c r="G88">
        <f t="shared" si="9"/>
        <v>501</v>
      </c>
    </row>
    <row r="89" spans="1:7" x14ac:dyDescent="0.25">
      <c r="B89" s="566" t="s">
        <v>493</v>
      </c>
      <c r="C89" s="566"/>
      <c r="D89" s="566"/>
      <c r="E89">
        <v>1</v>
      </c>
      <c r="F89">
        <v>661</v>
      </c>
      <c r="G89">
        <f t="shared" si="9"/>
        <v>661</v>
      </c>
    </row>
    <row r="90" spans="1:7" x14ac:dyDescent="0.25">
      <c r="B90" s="566" t="s">
        <v>490</v>
      </c>
      <c r="C90" s="566"/>
      <c r="D90" s="566"/>
      <c r="E90">
        <v>0</v>
      </c>
      <c r="F90">
        <v>783.4</v>
      </c>
      <c r="G90">
        <f t="shared" si="9"/>
        <v>0</v>
      </c>
    </row>
    <row r="91" spans="1:7" x14ac:dyDescent="0.25">
      <c r="B91" s="566"/>
      <c r="C91" s="566"/>
      <c r="D91" s="566"/>
      <c r="F91" s="472"/>
      <c r="G91" s="473">
        <f>SUM(G83:G90)</f>
        <v>2544</v>
      </c>
    </row>
    <row r="92" spans="1:7" x14ac:dyDescent="0.25">
      <c r="B92" s="567"/>
      <c r="C92" s="567"/>
      <c r="D92" s="567"/>
      <c r="F92" s="472" t="s">
        <v>495</v>
      </c>
      <c r="G92" s="467">
        <f>G91+G84+G85+G87+G90</f>
        <v>3013</v>
      </c>
    </row>
    <row r="93" spans="1:7" x14ac:dyDescent="0.25">
      <c r="A93" s="469" t="s">
        <v>315</v>
      </c>
      <c r="B93" s="569"/>
      <c r="C93" s="569"/>
      <c r="D93" s="569"/>
      <c r="E93" s="471"/>
      <c r="F93" s="471"/>
      <c r="G93" s="471"/>
    </row>
    <row r="94" spans="1:7" x14ac:dyDescent="0.25">
      <c r="A94" s="463" t="s">
        <v>494</v>
      </c>
      <c r="B94" s="566" t="s">
        <v>484</v>
      </c>
      <c r="C94" s="566"/>
      <c r="D94" s="566"/>
      <c r="E94">
        <v>1</v>
      </c>
      <c r="F94">
        <v>850</v>
      </c>
      <c r="G94">
        <f>E94*F94</f>
        <v>850</v>
      </c>
    </row>
    <row r="95" spans="1:7" x14ac:dyDescent="0.25">
      <c r="B95" s="566" t="s">
        <v>485</v>
      </c>
      <c r="C95" s="566"/>
      <c r="D95" s="566"/>
      <c r="E95">
        <v>1</v>
      </c>
      <c r="F95">
        <v>30</v>
      </c>
      <c r="G95">
        <f t="shared" ref="G95:G101" si="10">E95*F95</f>
        <v>30</v>
      </c>
    </row>
    <row r="96" spans="1:7" x14ac:dyDescent="0.25">
      <c r="B96" s="566" t="s">
        <v>486</v>
      </c>
      <c r="C96" s="566"/>
      <c r="D96" s="566"/>
      <c r="E96">
        <v>1</v>
      </c>
      <c r="F96">
        <v>215</v>
      </c>
      <c r="G96">
        <f t="shared" si="10"/>
        <v>215</v>
      </c>
    </row>
    <row r="97" spans="2:7" x14ac:dyDescent="0.25">
      <c r="B97" s="566" t="s">
        <v>487</v>
      </c>
      <c r="C97" s="566"/>
      <c r="D97" s="566"/>
      <c r="E97">
        <v>72</v>
      </c>
      <c r="F97">
        <v>1</v>
      </c>
      <c r="G97">
        <f t="shared" si="10"/>
        <v>72</v>
      </c>
    </row>
    <row r="98" spans="2:7" x14ac:dyDescent="0.25">
      <c r="B98" s="566" t="s">
        <v>488</v>
      </c>
      <c r="C98" s="566"/>
      <c r="D98" s="566"/>
      <c r="E98">
        <v>140</v>
      </c>
      <c r="F98">
        <v>1.6</v>
      </c>
      <c r="G98">
        <f t="shared" si="10"/>
        <v>224</v>
      </c>
    </row>
    <row r="99" spans="2:7" x14ac:dyDescent="0.25">
      <c r="B99" s="567" t="s">
        <v>493</v>
      </c>
      <c r="C99" s="567"/>
      <c r="D99" s="567"/>
      <c r="E99">
        <v>1</v>
      </c>
      <c r="F99">
        <v>661</v>
      </c>
      <c r="G99">
        <f t="shared" si="10"/>
        <v>661</v>
      </c>
    </row>
    <row r="100" spans="2:7" x14ac:dyDescent="0.25">
      <c r="B100" s="568" t="s">
        <v>496</v>
      </c>
      <c r="C100" s="568"/>
      <c r="D100" s="568"/>
      <c r="E100">
        <v>1</v>
      </c>
      <c r="F100">
        <v>701</v>
      </c>
      <c r="G100">
        <f t="shared" si="10"/>
        <v>701</v>
      </c>
    </row>
    <row r="101" spans="2:7" x14ac:dyDescent="0.25">
      <c r="B101" s="566" t="s">
        <v>490</v>
      </c>
      <c r="C101" s="566"/>
      <c r="D101" s="566"/>
      <c r="E101">
        <v>0</v>
      </c>
      <c r="F101">
        <v>783.4</v>
      </c>
      <c r="G101">
        <f t="shared" si="10"/>
        <v>0</v>
      </c>
    </row>
    <row r="102" spans="2:7" x14ac:dyDescent="0.25">
      <c r="B102" s="566"/>
      <c r="C102" s="566"/>
      <c r="D102" s="566"/>
      <c r="G102" s="473">
        <f>SUM(G94:G101)</f>
        <v>2753</v>
      </c>
    </row>
    <row r="103" spans="2:7" x14ac:dyDescent="0.25">
      <c r="F103" s="472" t="s">
        <v>497</v>
      </c>
      <c r="G103" s="467">
        <f>G102+G95+G96+G98+G101</f>
        <v>3222</v>
      </c>
    </row>
  </sheetData>
  <mergeCells count="107">
    <mergeCell ref="B7:D7"/>
    <mergeCell ref="B8:D8"/>
    <mergeCell ref="B9:D9"/>
    <mergeCell ref="B10:D10"/>
    <mergeCell ref="E10:G10"/>
    <mergeCell ref="B11:D11"/>
    <mergeCell ref="B1:D1"/>
    <mergeCell ref="B2:D2"/>
    <mergeCell ref="B3:D3"/>
    <mergeCell ref="B4:D4"/>
    <mergeCell ref="B5:D5"/>
    <mergeCell ref="B6:D6"/>
    <mergeCell ref="B18:D18"/>
    <mergeCell ref="B19:D19"/>
    <mergeCell ref="E19:G19"/>
    <mergeCell ref="B20:D20"/>
    <mergeCell ref="B21:D21"/>
    <mergeCell ref="B22:D22"/>
    <mergeCell ref="B12:D12"/>
    <mergeCell ref="B13:D13"/>
    <mergeCell ref="B14:D14"/>
    <mergeCell ref="B15:D15"/>
    <mergeCell ref="B16:D16"/>
    <mergeCell ref="B17:D17"/>
    <mergeCell ref="E37:G37"/>
    <mergeCell ref="B38:D38"/>
    <mergeCell ref="E28:G28"/>
    <mergeCell ref="B29:D29"/>
    <mergeCell ref="B30:D30"/>
    <mergeCell ref="B31:D31"/>
    <mergeCell ref="B32:D32"/>
    <mergeCell ref="B33:D33"/>
    <mergeCell ref="B23:D23"/>
    <mergeCell ref="B24:D24"/>
    <mergeCell ref="B25:D25"/>
    <mergeCell ref="B26:D26"/>
    <mergeCell ref="B27:D27"/>
    <mergeCell ref="B28:D28"/>
    <mergeCell ref="B39:D39"/>
    <mergeCell ref="B40:D40"/>
    <mergeCell ref="B41:D41"/>
    <mergeCell ref="B42:D42"/>
    <mergeCell ref="B43:D43"/>
    <mergeCell ref="B44:D44"/>
    <mergeCell ref="B34:D34"/>
    <mergeCell ref="B35:D35"/>
    <mergeCell ref="B36:D36"/>
    <mergeCell ref="B37:D37"/>
    <mergeCell ref="B50:D50"/>
    <mergeCell ref="B51:D51"/>
    <mergeCell ref="B52:D52"/>
    <mergeCell ref="B53:D53"/>
    <mergeCell ref="B54:D54"/>
    <mergeCell ref="B55:D55"/>
    <mergeCell ref="B45:D45"/>
    <mergeCell ref="B46:D46"/>
    <mergeCell ref="E46:G46"/>
    <mergeCell ref="B47:D47"/>
    <mergeCell ref="B48:D48"/>
    <mergeCell ref="B49:D49"/>
    <mergeCell ref="B62:D62"/>
    <mergeCell ref="B63:D63"/>
    <mergeCell ref="B64:D64"/>
    <mergeCell ref="B65:D65"/>
    <mergeCell ref="B66:D66"/>
    <mergeCell ref="B67:D67"/>
    <mergeCell ref="B56:D56"/>
    <mergeCell ref="B57:D57"/>
    <mergeCell ref="B58:D58"/>
    <mergeCell ref="B59:D59"/>
    <mergeCell ref="B60:D60"/>
    <mergeCell ref="B61:D61"/>
    <mergeCell ref="B74:D74"/>
    <mergeCell ref="B75:D75"/>
    <mergeCell ref="B76:D76"/>
    <mergeCell ref="B77:D77"/>
    <mergeCell ref="B78:D78"/>
    <mergeCell ref="B79:D79"/>
    <mergeCell ref="B68:D68"/>
    <mergeCell ref="B69:D69"/>
    <mergeCell ref="B70:D70"/>
    <mergeCell ref="B71:D71"/>
    <mergeCell ref="B72:D72"/>
    <mergeCell ref="B73:D73"/>
    <mergeCell ref="B86:D86"/>
    <mergeCell ref="B87:D87"/>
    <mergeCell ref="B88:D88"/>
    <mergeCell ref="B89:D89"/>
    <mergeCell ref="B90:D90"/>
    <mergeCell ref="B91:D91"/>
    <mergeCell ref="B80:D80"/>
    <mergeCell ref="B81:D81"/>
    <mergeCell ref="B82:D82"/>
    <mergeCell ref="B83:D83"/>
    <mergeCell ref="B84:D84"/>
    <mergeCell ref="B85:D85"/>
    <mergeCell ref="B98:D98"/>
    <mergeCell ref="B99:D99"/>
    <mergeCell ref="B100:D100"/>
    <mergeCell ref="B101:D101"/>
    <mergeCell ref="B102:D102"/>
    <mergeCell ref="B92:D92"/>
    <mergeCell ref="B93:D93"/>
    <mergeCell ref="B94:D94"/>
    <mergeCell ref="B95:D95"/>
    <mergeCell ref="B96:D96"/>
    <mergeCell ref="B97:D97"/>
  </mergeCells>
  <pageMargins left="0.7" right="0.7" top="0.75" bottom="0.75" header="0.3" footer="0.3"/>
  <pageSetup paperSize="8" scale="4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7"/>
  <dimension ref="A13:S133"/>
  <sheetViews>
    <sheetView topLeftCell="A40" zoomScale="85" zoomScaleNormal="85" workbookViewId="0">
      <selection activeCell="H76" sqref="H76"/>
    </sheetView>
  </sheetViews>
  <sheetFormatPr defaultRowHeight="15" x14ac:dyDescent="0.25"/>
  <cols>
    <col min="2" max="2" width="39" customWidth="1"/>
    <col min="5" max="5" width="41.140625" customWidth="1"/>
    <col min="6" max="6" width="16.140625" customWidth="1"/>
    <col min="8" max="8" width="11" customWidth="1"/>
    <col min="9" max="9" width="14.5703125" customWidth="1"/>
    <col min="10" max="10" width="12.140625" customWidth="1"/>
    <col min="11" max="11" width="11" customWidth="1"/>
    <col min="12" max="12" width="15.42578125" customWidth="1"/>
    <col min="13" max="13" width="12" customWidth="1"/>
    <col min="14" max="14" width="13.5703125" customWidth="1"/>
    <col min="15" max="15" width="12.85546875" customWidth="1"/>
    <col min="16" max="16" width="14.42578125" customWidth="1"/>
    <col min="17" max="17" width="10.140625" bestFit="1" customWidth="1"/>
    <col min="18" max="19" width="11.140625" bestFit="1" customWidth="1"/>
  </cols>
  <sheetData>
    <row r="13" spans="1:16" s="381" customFormat="1" ht="91.5" customHeight="1" x14ac:dyDescent="0.25">
      <c r="A13" s="378" t="s">
        <v>316</v>
      </c>
      <c r="B13" s="643" t="s">
        <v>317</v>
      </c>
      <c r="C13" s="644"/>
      <c r="D13" s="644"/>
      <c r="E13" s="645"/>
      <c r="F13" s="379" t="s">
        <v>318</v>
      </c>
      <c r="G13" s="379" t="s">
        <v>319</v>
      </c>
      <c r="H13" s="379" t="s">
        <v>320</v>
      </c>
      <c r="I13" s="379" t="s">
        <v>321</v>
      </c>
      <c r="J13" s="379" t="s">
        <v>322</v>
      </c>
      <c r="K13" s="379" t="s">
        <v>323</v>
      </c>
      <c r="L13" s="379" t="s">
        <v>324</v>
      </c>
      <c r="M13" s="379" t="s">
        <v>325</v>
      </c>
      <c r="N13" s="380" t="s">
        <v>326</v>
      </c>
      <c r="O13" s="379" t="s">
        <v>327</v>
      </c>
      <c r="P13" s="379" t="s">
        <v>328</v>
      </c>
    </row>
    <row r="14" spans="1:16" ht="15" customHeight="1" x14ac:dyDescent="0.25">
      <c r="A14" s="646" t="s">
        <v>329</v>
      </c>
      <c r="B14" s="382" t="s">
        <v>453</v>
      </c>
      <c r="C14" s="382"/>
      <c r="D14" s="382"/>
      <c r="E14" s="382"/>
      <c r="F14" s="382" t="s">
        <v>75</v>
      </c>
      <c r="G14" s="383">
        <v>20</v>
      </c>
      <c r="H14" s="384">
        <v>7518.46</v>
      </c>
      <c r="I14" s="384">
        <v>150369.26</v>
      </c>
      <c r="J14" s="385">
        <v>0.2</v>
      </c>
      <c r="K14" s="384">
        <v>30073.85</v>
      </c>
      <c r="L14" s="384">
        <v>180443.11</v>
      </c>
      <c r="M14" s="647">
        <f>SUM(I14:I45)</f>
        <v>763261.70000000054</v>
      </c>
      <c r="N14" s="386">
        <f>(H14+H14/100*O14)+((H14+H14/100*O14)/100*20)</f>
        <v>9258.5624474258311</v>
      </c>
      <c r="O14" s="650">
        <f>P14/(M14/100)</f>
        <v>2.620333235638574</v>
      </c>
      <c r="P14" s="650">
        <f>SUM(K119)</f>
        <v>20000</v>
      </c>
    </row>
    <row r="15" spans="1:16" ht="15" customHeight="1" x14ac:dyDescent="0.25">
      <c r="A15" s="646"/>
      <c r="B15" s="382" t="s">
        <v>454</v>
      </c>
      <c r="C15" s="382"/>
      <c r="D15" s="382"/>
      <c r="E15" s="382"/>
      <c r="F15" s="382" t="s">
        <v>75</v>
      </c>
      <c r="G15" s="383">
        <v>15</v>
      </c>
      <c r="H15" s="384">
        <v>8184.75</v>
      </c>
      <c r="I15" s="384">
        <v>122771.27</v>
      </c>
      <c r="J15" s="385">
        <v>0.2</v>
      </c>
      <c r="K15" s="384">
        <v>24554.25</v>
      </c>
      <c r="L15" s="384">
        <v>147325.51999999999</v>
      </c>
      <c r="M15" s="648"/>
      <c r="N15" s="386">
        <f>(H15+H15/100*O14)+((H15+H15/100*O14)/100*20)</f>
        <v>10079.061269404712</v>
      </c>
      <c r="O15" s="651"/>
      <c r="P15" s="648"/>
    </row>
    <row r="16" spans="1:16" ht="15" customHeight="1" x14ac:dyDescent="0.25">
      <c r="A16" s="646"/>
      <c r="B16" s="382" t="s">
        <v>455</v>
      </c>
      <c r="C16" s="382"/>
      <c r="D16" s="382"/>
      <c r="E16" s="382"/>
      <c r="F16" s="382" t="s">
        <v>75</v>
      </c>
      <c r="G16" s="383">
        <v>10</v>
      </c>
      <c r="H16" s="384">
        <v>9191.65</v>
      </c>
      <c r="I16" s="384">
        <v>91916.49</v>
      </c>
      <c r="J16" s="385">
        <v>0.2</v>
      </c>
      <c r="K16" s="384">
        <v>18383.3</v>
      </c>
      <c r="L16" s="384">
        <v>110299.79</v>
      </c>
      <c r="M16" s="648"/>
      <c r="N16" s="386">
        <f>(H16+H16/100*O14)+((H16+H16/100*O14)/100*20)</f>
        <v>11319.002231824288</v>
      </c>
      <c r="O16" s="651"/>
      <c r="P16" s="648"/>
    </row>
    <row r="17" spans="1:16" ht="15" customHeight="1" x14ac:dyDescent="0.25">
      <c r="A17" s="646"/>
      <c r="B17" s="382" t="s">
        <v>456</v>
      </c>
      <c r="C17" s="382"/>
      <c r="D17" s="382"/>
      <c r="E17" s="382"/>
      <c r="F17" s="382" t="s">
        <v>75</v>
      </c>
      <c r="G17" s="383">
        <v>5</v>
      </c>
      <c r="H17" s="384">
        <v>12552.58</v>
      </c>
      <c r="I17" s="384">
        <v>62762.879999999997</v>
      </c>
      <c r="J17" s="385">
        <v>0.2</v>
      </c>
      <c r="K17" s="384">
        <v>12552.58</v>
      </c>
      <c r="L17" s="384">
        <v>75315.460000000006</v>
      </c>
      <c r="M17" s="648"/>
      <c r="N17" s="386">
        <f>(H17+H17/100*O14)+((H17+H17/100*O14)/100*20)</f>
        <v>15457.799310804145</v>
      </c>
      <c r="O17" s="651"/>
      <c r="P17" s="648"/>
    </row>
    <row r="18" spans="1:16" ht="15" customHeight="1" x14ac:dyDescent="0.25">
      <c r="A18" s="646"/>
      <c r="B18" s="382" t="s">
        <v>457</v>
      </c>
      <c r="C18" s="382"/>
      <c r="D18" s="382"/>
      <c r="E18" s="382"/>
      <c r="F18" s="382" t="s">
        <v>75</v>
      </c>
      <c r="G18" s="383">
        <v>5</v>
      </c>
      <c r="H18" s="384">
        <v>11310.46</v>
      </c>
      <c r="I18" s="384">
        <v>56552.32</v>
      </c>
      <c r="J18" s="385">
        <v>0.2</v>
      </c>
      <c r="K18" s="384">
        <v>11310.46</v>
      </c>
      <c r="L18" s="384">
        <v>67862.78</v>
      </c>
      <c r="M18" s="648"/>
      <c r="N18" s="386">
        <f>(H18+H18/100*O14)+((H18+H18/100*O14)/100*20)</f>
        <v>13928.198090980328</v>
      </c>
      <c r="O18" s="651"/>
      <c r="P18" s="648"/>
    </row>
    <row r="19" spans="1:16" ht="15" customHeight="1" x14ac:dyDescent="0.25">
      <c r="A19" s="646"/>
      <c r="B19" s="382" t="s">
        <v>330</v>
      </c>
      <c r="C19" s="382"/>
      <c r="D19" s="382"/>
      <c r="E19" s="382"/>
      <c r="F19" s="382" t="s">
        <v>75</v>
      </c>
      <c r="G19" s="383">
        <v>3</v>
      </c>
      <c r="H19" s="384">
        <v>6019.6</v>
      </c>
      <c r="I19" s="384">
        <v>18058.810000000001</v>
      </c>
      <c r="J19" s="385">
        <v>0.2</v>
      </c>
      <c r="K19" s="384">
        <v>3611.76</v>
      </c>
      <c r="L19" s="384">
        <v>21670.57</v>
      </c>
      <c r="M19" s="648"/>
      <c r="N19" s="386">
        <f>(H19+H19/100*O14)+((H19+H19/100*O14)/100*20)</f>
        <v>7412.8002953430005</v>
      </c>
      <c r="O19" s="651"/>
      <c r="P19" s="648"/>
    </row>
    <row r="20" spans="1:16" ht="15" customHeight="1" x14ac:dyDescent="0.25">
      <c r="A20" s="646"/>
      <c r="B20" s="382" t="s">
        <v>331</v>
      </c>
      <c r="C20" s="382"/>
      <c r="D20" s="382"/>
      <c r="E20" s="382"/>
      <c r="F20" s="382" t="s">
        <v>75</v>
      </c>
      <c r="G20" s="383">
        <v>3</v>
      </c>
      <c r="H20" s="384">
        <v>5955.88</v>
      </c>
      <c r="I20" s="384">
        <v>17867.63</v>
      </c>
      <c r="J20" s="385">
        <v>0.2</v>
      </c>
      <c r="K20" s="384">
        <v>3573.53</v>
      </c>
      <c r="L20" s="384">
        <v>21441.16</v>
      </c>
      <c r="M20" s="648"/>
      <c r="N20" s="386">
        <f>(H20+H20/100*O14)+((H20+H20/100*O14)/100*20)</f>
        <v>7334.3326837377008</v>
      </c>
      <c r="O20" s="651"/>
      <c r="P20" s="648"/>
    </row>
    <row r="21" spans="1:16" ht="15" customHeight="1" x14ac:dyDescent="0.25">
      <c r="A21" s="646"/>
      <c r="B21" s="382" t="s">
        <v>332</v>
      </c>
      <c r="C21" s="382"/>
      <c r="D21" s="382"/>
      <c r="E21" s="382"/>
      <c r="F21" s="382" t="s">
        <v>75</v>
      </c>
      <c r="G21" s="383">
        <v>3</v>
      </c>
      <c r="H21" s="384">
        <v>7857.18</v>
      </c>
      <c r="I21" s="384">
        <v>23571.53</v>
      </c>
      <c r="J21" s="385">
        <v>0.2</v>
      </c>
      <c r="K21" s="384">
        <v>4714.3100000000004</v>
      </c>
      <c r="L21" s="384">
        <v>28285.84</v>
      </c>
      <c r="M21" s="648"/>
      <c r="N21" s="386">
        <f>(H21+H21/100*O14)+((H21+H21/100*O14)/100*20)</f>
        <v>9675.6771587087351</v>
      </c>
      <c r="O21" s="651"/>
      <c r="P21" s="648"/>
    </row>
    <row r="22" spans="1:16" ht="15" customHeight="1" x14ac:dyDescent="0.25">
      <c r="A22" s="646"/>
      <c r="B22" s="382" t="s">
        <v>333</v>
      </c>
      <c r="C22" s="382"/>
      <c r="D22" s="382"/>
      <c r="E22" s="382"/>
      <c r="F22" s="382" t="s">
        <v>75</v>
      </c>
      <c r="G22" s="383">
        <v>2</v>
      </c>
      <c r="H22" s="384">
        <v>8269.41</v>
      </c>
      <c r="I22" s="384">
        <v>16538.810000000001</v>
      </c>
      <c r="J22" s="385">
        <v>0.2</v>
      </c>
      <c r="K22" s="384">
        <v>3307.76</v>
      </c>
      <c r="L22" s="384">
        <v>19846.57</v>
      </c>
      <c r="M22" s="648"/>
      <c r="N22" s="386">
        <f>(H22+H22/100*O14)+((H22+H22/100*O14)/100*20)</f>
        <v>10183.315318345463</v>
      </c>
      <c r="O22" s="651"/>
      <c r="P22" s="648"/>
    </row>
    <row r="23" spans="1:16" ht="15" customHeight="1" x14ac:dyDescent="0.25">
      <c r="A23" s="646"/>
      <c r="B23" s="382" t="s">
        <v>334</v>
      </c>
      <c r="C23" s="382"/>
      <c r="D23" s="382"/>
      <c r="E23" s="382"/>
      <c r="F23" s="382" t="s">
        <v>75</v>
      </c>
      <c r="G23" s="383">
        <v>2</v>
      </c>
      <c r="H23" s="384">
        <v>10004.629999999999</v>
      </c>
      <c r="I23" s="384">
        <v>20009.25</v>
      </c>
      <c r="J23" s="385">
        <v>0.2</v>
      </c>
      <c r="K23" s="384">
        <v>4001.85</v>
      </c>
      <c r="L23" s="384">
        <v>24011.1</v>
      </c>
      <c r="M23" s="648"/>
      <c r="N23" s="386">
        <f>(H23+H23/100*O14)+((H23+H23/100*O14)/100*20)</f>
        <v>12320.141573991201</v>
      </c>
      <c r="O23" s="651"/>
      <c r="P23" s="648"/>
    </row>
    <row r="24" spans="1:16" ht="15" customHeight="1" x14ac:dyDescent="0.25">
      <c r="A24" s="646"/>
      <c r="B24" s="382" t="s">
        <v>335</v>
      </c>
      <c r="C24" s="382"/>
      <c r="D24" s="382"/>
      <c r="E24" s="382"/>
      <c r="F24" s="382" t="s">
        <v>78</v>
      </c>
      <c r="G24" s="383">
        <v>1180</v>
      </c>
      <c r="H24" s="382">
        <v>35.61</v>
      </c>
      <c r="I24" s="384">
        <v>42020.18</v>
      </c>
      <c r="J24" s="385">
        <v>0.2</v>
      </c>
      <c r="K24" s="384">
        <v>8404.0400000000009</v>
      </c>
      <c r="L24" s="384">
        <v>50424.22</v>
      </c>
      <c r="M24" s="648"/>
      <c r="N24" s="386">
        <f>(H24+H24/100*O14)+((H24+H24/100*O14)/100*20)</f>
        <v>43.851720798253069</v>
      </c>
      <c r="O24" s="651"/>
      <c r="P24" s="648"/>
    </row>
    <row r="25" spans="1:16" ht="15" customHeight="1" x14ac:dyDescent="0.25">
      <c r="A25" s="646"/>
      <c r="B25" s="382" t="s">
        <v>336</v>
      </c>
      <c r="C25" s="382"/>
      <c r="D25" s="382"/>
      <c r="E25" s="382"/>
      <c r="F25" s="382" t="s">
        <v>78</v>
      </c>
      <c r="G25" s="383">
        <v>1180</v>
      </c>
      <c r="H25" s="382">
        <v>35.61</v>
      </c>
      <c r="I25" s="384">
        <v>42020.18</v>
      </c>
      <c r="J25" s="385">
        <v>0.2</v>
      </c>
      <c r="K25" s="384">
        <v>8404.0400000000009</v>
      </c>
      <c r="L25" s="384">
        <v>50424.22</v>
      </c>
      <c r="M25" s="648"/>
      <c r="N25" s="386">
        <f>(H25+H25/100*O14)+((H25+H25/100*O14)/100*20)</f>
        <v>43.851720798253069</v>
      </c>
      <c r="O25" s="651"/>
      <c r="P25" s="648"/>
    </row>
    <row r="26" spans="1:16" ht="15" customHeight="1" x14ac:dyDescent="0.25">
      <c r="A26" s="646"/>
      <c r="B26" s="382" t="s">
        <v>337</v>
      </c>
      <c r="C26" s="382"/>
      <c r="D26" s="382"/>
      <c r="E26" s="382"/>
      <c r="F26" s="382" t="s">
        <v>78</v>
      </c>
      <c r="G26" s="383">
        <v>60</v>
      </c>
      <c r="H26" s="382">
        <v>20.149999999999999</v>
      </c>
      <c r="I26" s="384">
        <v>1208.8699999999999</v>
      </c>
      <c r="J26" s="385">
        <v>0.2</v>
      </c>
      <c r="K26" s="382">
        <v>241.78</v>
      </c>
      <c r="L26" s="384">
        <v>1450.65</v>
      </c>
      <c r="M26" s="648"/>
      <c r="N26" s="386">
        <f>(H26+H26/100*O14)+((H26+H26/100*O14)/100*20)</f>
        <v>24.813596576377403</v>
      </c>
      <c r="O26" s="651"/>
      <c r="P26" s="648"/>
    </row>
    <row r="27" spans="1:16" ht="15" customHeight="1" x14ac:dyDescent="0.25">
      <c r="A27" s="646"/>
      <c r="B27" s="382" t="s">
        <v>338</v>
      </c>
      <c r="C27" s="382"/>
      <c r="D27" s="382"/>
      <c r="E27" s="382"/>
      <c r="F27" s="382" t="s">
        <v>78</v>
      </c>
      <c r="G27" s="383">
        <v>60</v>
      </c>
      <c r="H27" s="382">
        <v>20.149999999999999</v>
      </c>
      <c r="I27" s="384">
        <v>1208.8699999999999</v>
      </c>
      <c r="J27" s="385">
        <v>0.2</v>
      </c>
      <c r="K27" s="382">
        <v>241.78</v>
      </c>
      <c r="L27" s="384">
        <v>1450.65</v>
      </c>
      <c r="M27" s="648"/>
      <c r="N27" s="386">
        <f>(H27+H27/100*O14)+((H27+H27/100*O14)/100*20)</f>
        <v>24.813596576377403</v>
      </c>
      <c r="O27" s="651"/>
      <c r="P27" s="648"/>
    </row>
    <row r="28" spans="1:16" ht="15" customHeight="1" x14ac:dyDescent="0.25">
      <c r="A28" s="646"/>
      <c r="B28" s="382" t="s">
        <v>339</v>
      </c>
      <c r="C28" s="382"/>
      <c r="D28" s="382"/>
      <c r="E28" s="382"/>
      <c r="F28" s="382" t="s">
        <v>78</v>
      </c>
      <c r="G28" s="383">
        <v>105</v>
      </c>
      <c r="H28" s="382">
        <v>45.45</v>
      </c>
      <c r="I28" s="384">
        <v>4772.41</v>
      </c>
      <c r="J28" s="385">
        <v>0.2</v>
      </c>
      <c r="K28" s="382">
        <v>954.48</v>
      </c>
      <c r="L28" s="384">
        <v>5726.89</v>
      </c>
      <c r="M28" s="648"/>
      <c r="N28" s="386">
        <f>(H28+H28/100*O14)+((H28+H28/100*O14)/100*20)</f>
        <v>55.969129746717279</v>
      </c>
      <c r="O28" s="651"/>
      <c r="P28" s="648"/>
    </row>
    <row r="29" spans="1:16" ht="15" customHeight="1" x14ac:dyDescent="0.25">
      <c r="A29" s="646"/>
      <c r="B29" s="382" t="s">
        <v>340</v>
      </c>
      <c r="C29" s="382"/>
      <c r="D29" s="382"/>
      <c r="E29" s="382"/>
      <c r="F29" s="382" t="s">
        <v>78</v>
      </c>
      <c r="G29" s="383">
        <v>105</v>
      </c>
      <c r="H29" s="382">
        <v>45.45</v>
      </c>
      <c r="I29" s="384">
        <v>4772.41</v>
      </c>
      <c r="J29" s="385">
        <v>0.2</v>
      </c>
      <c r="K29" s="382">
        <v>954.48</v>
      </c>
      <c r="L29" s="384">
        <v>5726.89</v>
      </c>
      <c r="M29" s="648"/>
      <c r="N29" s="386">
        <f>(H29+H29/100*O14)+((H29+H29/100*O14)/100*20)</f>
        <v>55.969129746717279</v>
      </c>
      <c r="O29" s="651"/>
      <c r="P29" s="648"/>
    </row>
    <row r="30" spans="1:16" ht="15" customHeight="1" x14ac:dyDescent="0.25">
      <c r="A30" s="646"/>
      <c r="B30" s="382" t="s">
        <v>341</v>
      </c>
      <c r="C30" s="382"/>
      <c r="D30" s="382"/>
      <c r="E30" s="382"/>
      <c r="F30" s="382" t="s">
        <v>78</v>
      </c>
      <c r="G30" s="383">
        <v>75</v>
      </c>
      <c r="H30" s="382">
        <v>123.7</v>
      </c>
      <c r="I30" s="384">
        <v>9277.42</v>
      </c>
      <c r="J30" s="385">
        <v>0.2</v>
      </c>
      <c r="K30" s="384">
        <v>1855.49</v>
      </c>
      <c r="L30" s="384">
        <v>11132.91</v>
      </c>
      <c r="M30" s="648"/>
      <c r="N30" s="386">
        <f>(H30+H30/100*O14)+((H30+H30/100*O14)/100*20)</f>
        <v>152.3296226549819</v>
      </c>
      <c r="O30" s="651"/>
      <c r="P30" s="648"/>
    </row>
    <row r="31" spans="1:16" ht="15" customHeight="1" x14ac:dyDescent="0.25">
      <c r="A31" s="646"/>
      <c r="B31" s="382" t="s">
        <v>342</v>
      </c>
      <c r="C31" s="382"/>
      <c r="D31" s="382"/>
      <c r="E31" s="382"/>
      <c r="F31" s="382" t="s">
        <v>78</v>
      </c>
      <c r="G31" s="383">
        <v>40</v>
      </c>
      <c r="H31" s="382">
        <v>123.7</v>
      </c>
      <c r="I31" s="382">
        <v>4948.01</v>
      </c>
      <c r="J31" s="385">
        <v>0.2</v>
      </c>
      <c r="K31" s="382">
        <v>989.61</v>
      </c>
      <c r="L31" s="382">
        <v>5937.62</v>
      </c>
      <c r="M31" s="648"/>
      <c r="N31" s="386">
        <f>(H31+H31/100*O14)+((H31+H31/100*O14)/100*20)</f>
        <v>152.3296226549819</v>
      </c>
      <c r="O31" s="651"/>
      <c r="P31" s="648"/>
    </row>
    <row r="32" spans="1:16" ht="15" customHeight="1" x14ac:dyDescent="0.25">
      <c r="A32" s="646"/>
      <c r="B32" s="382" t="s">
        <v>342</v>
      </c>
      <c r="C32" s="382"/>
      <c r="D32" s="382"/>
      <c r="E32" s="382"/>
      <c r="F32" s="382" t="s">
        <v>78</v>
      </c>
      <c r="G32" s="383">
        <v>35</v>
      </c>
      <c r="H32" s="382">
        <v>123.7</v>
      </c>
      <c r="I32" s="382">
        <v>4329.51</v>
      </c>
      <c r="J32" s="385">
        <v>0.2</v>
      </c>
      <c r="K32" s="382">
        <v>865.9</v>
      </c>
      <c r="L32" s="382">
        <v>5195.41</v>
      </c>
      <c r="M32" s="648"/>
      <c r="N32" s="386">
        <f>(H32+H32/100*O14)+((H32+H32/100*O14)/100*20)</f>
        <v>152.3296226549819</v>
      </c>
      <c r="O32" s="651"/>
      <c r="P32" s="648"/>
    </row>
    <row r="33" spans="1:19" ht="15" customHeight="1" x14ac:dyDescent="0.25">
      <c r="A33" s="646"/>
      <c r="B33" s="382" t="s">
        <v>343</v>
      </c>
      <c r="C33" s="382"/>
      <c r="D33" s="382"/>
      <c r="E33" s="382"/>
      <c r="F33" s="382" t="s">
        <v>78</v>
      </c>
      <c r="G33" s="383">
        <v>30</v>
      </c>
      <c r="H33" s="382">
        <v>197.73</v>
      </c>
      <c r="I33" s="382">
        <v>5931.93</v>
      </c>
      <c r="J33" s="385">
        <v>0.2</v>
      </c>
      <c r="K33" s="382">
        <v>1186.3900000000001</v>
      </c>
      <c r="L33" s="382">
        <v>7118.32</v>
      </c>
      <c r="M33" s="648"/>
      <c r="N33" s="386">
        <f>(H33+H33/100*O14)+((H33+H33/100*O14)/100*20)</f>
        <v>243.49342188819378</v>
      </c>
      <c r="O33" s="651"/>
      <c r="P33" s="648"/>
    </row>
    <row r="34" spans="1:19" ht="15" customHeight="1" x14ac:dyDescent="0.25">
      <c r="A34" s="646"/>
      <c r="B34" s="382" t="s">
        <v>344</v>
      </c>
      <c r="C34" s="382"/>
      <c r="D34" s="382"/>
      <c r="E34" s="382"/>
      <c r="F34" s="382" t="s">
        <v>78</v>
      </c>
      <c r="G34" s="383">
        <v>30</v>
      </c>
      <c r="H34" s="382">
        <v>197.73</v>
      </c>
      <c r="I34" s="382">
        <v>5931.93</v>
      </c>
      <c r="J34" s="385">
        <v>0.2</v>
      </c>
      <c r="K34" s="382">
        <v>1186.3900000000001</v>
      </c>
      <c r="L34" s="382">
        <v>7118.32</v>
      </c>
      <c r="M34" s="648"/>
      <c r="N34" s="386">
        <f>(H34+H34/100*O14)+((H34+H34/100*O14)/100*20)</f>
        <v>243.49342188819378</v>
      </c>
      <c r="O34" s="651"/>
      <c r="P34" s="648"/>
    </row>
    <row r="35" spans="1:19" ht="15" customHeight="1" x14ac:dyDescent="0.25">
      <c r="A35" s="646"/>
      <c r="B35" s="382" t="s">
        <v>345</v>
      </c>
      <c r="C35" s="382"/>
      <c r="D35" s="382"/>
      <c r="E35" s="382"/>
      <c r="F35" s="382" t="s">
        <v>78</v>
      </c>
      <c r="G35" s="383">
        <v>45</v>
      </c>
      <c r="H35" s="382">
        <v>275.98</v>
      </c>
      <c r="I35" s="382">
        <v>12419.1</v>
      </c>
      <c r="J35" s="385">
        <v>0.2</v>
      </c>
      <c r="K35" s="382">
        <v>2483.8200000000002</v>
      </c>
      <c r="L35" s="382">
        <v>14902.92</v>
      </c>
      <c r="M35" s="648"/>
      <c r="N35" s="386">
        <f>(H35+H35/100*O14)+((H35+H35/100*O14)/100*20)</f>
        <v>339.85391479645841</v>
      </c>
      <c r="O35" s="651"/>
      <c r="P35" s="648"/>
    </row>
    <row r="36" spans="1:19" ht="15" customHeight="1" x14ac:dyDescent="0.25">
      <c r="A36" s="646"/>
      <c r="B36" s="382" t="s">
        <v>345</v>
      </c>
      <c r="C36" s="382"/>
      <c r="D36" s="382"/>
      <c r="E36" s="382"/>
      <c r="F36" s="382" t="s">
        <v>78</v>
      </c>
      <c r="G36" s="383">
        <v>11</v>
      </c>
      <c r="H36" s="382">
        <v>275.98</v>
      </c>
      <c r="I36" s="382">
        <v>3035.78</v>
      </c>
      <c r="J36" s="385">
        <v>0.2</v>
      </c>
      <c r="K36" s="382">
        <v>607.16</v>
      </c>
      <c r="L36" s="382">
        <v>3642.94</v>
      </c>
      <c r="M36" s="648"/>
      <c r="N36" s="386">
        <f>(H36+H36/100*O14)+((H36+H36/100*O14)/100*20)</f>
        <v>339.85391479645841</v>
      </c>
      <c r="O36" s="651"/>
      <c r="P36" s="648"/>
    </row>
    <row r="37" spans="1:19" ht="15" customHeight="1" x14ac:dyDescent="0.25">
      <c r="A37" s="646"/>
      <c r="B37" s="382" t="s">
        <v>346</v>
      </c>
      <c r="C37" s="382"/>
      <c r="D37" s="382"/>
      <c r="E37" s="382"/>
      <c r="F37" s="382" t="s">
        <v>78</v>
      </c>
      <c r="G37" s="383">
        <v>56</v>
      </c>
      <c r="H37" s="382">
        <v>275.98</v>
      </c>
      <c r="I37" s="382">
        <v>15454.88</v>
      </c>
      <c r="J37" s="385">
        <v>0.2</v>
      </c>
      <c r="K37" s="382">
        <v>3090.98</v>
      </c>
      <c r="L37" s="382">
        <v>18545.86</v>
      </c>
      <c r="M37" s="648"/>
      <c r="N37" s="386">
        <f>(H37+H37/100*O14)+((H37+H37/100*O14)/100*20)</f>
        <v>339.85391479645841</v>
      </c>
      <c r="O37" s="651"/>
      <c r="P37" s="648"/>
    </row>
    <row r="38" spans="1:19" ht="15" customHeight="1" x14ac:dyDescent="0.25">
      <c r="A38" s="646"/>
      <c r="B38" s="382" t="s">
        <v>347</v>
      </c>
      <c r="C38" s="382"/>
      <c r="D38" s="382"/>
      <c r="E38" s="382"/>
      <c r="F38" s="382" t="s">
        <v>78</v>
      </c>
      <c r="G38" s="383">
        <v>15</v>
      </c>
      <c r="H38" s="382">
        <v>395.46</v>
      </c>
      <c r="I38" s="382">
        <v>5931.93</v>
      </c>
      <c r="J38" s="385">
        <v>0.2</v>
      </c>
      <c r="K38" s="382">
        <v>1186.3900000000001</v>
      </c>
      <c r="L38" s="382">
        <v>7118.32</v>
      </c>
      <c r="M38" s="648"/>
      <c r="N38" s="386">
        <f>(H38+H38/100*O14)+((H38+H38/100*O14)/100*20)</f>
        <v>486.98684377638756</v>
      </c>
      <c r="O38" s="651"/>
      <c r="P38" s="648"/>
    </row>
    <row r="39" spans="1:19" ht="15" customHeight="1" x14ac:dyDescent="0.25">
      <c r="A39" s="646"/>
      <c r="B39" s="382" t="s">
        <v>348</v>
      </c>
      <c r="C39" s="382"/>
      <c r="D39" s="382"/>
      <c r="E39" s="382"/>
      <c r="F39" s="382" t="s">
        <v>78</v>
      </c>
      <c r="G39" s="383">
        <v>15</v>
      </c>
      <c r="H39" s="382">
        <v>395.46</v>
      </c>
      <c r="I39" s="382">
        <v>5931.93</v>
      </c>
      <c r="J39" s="385">
        <v>0.2</v>
      </c>
      <c r="K39" s="382">
        <v>1186.3900000000001</v>
      </c>
      <c r="L39" s="382">
        <v>7118.32</v>
      </c>
      <c r="M39" s="648"/>
      <c r="N39" s="386">
        <f>(H39+H39/100*O14)+((H39+H39/100*O14)/100*20)</f>
        <v>486.98684377638756</v>
      </c>
      <c r="O39" s="651"/>
      <c r="P39" s="648"/>
    </row>
    <row r="40" spans="1:19" ht="15" customHeight="1" x14ac:dyDescent="0.25">
      <c r="A40" s="646"/>
      <c r="B40" s="382" t="s">
        <v>349</v>
      </c>
      <c r="C40" s="382"/>
      <c r="D40" s="382"/>
      <c r="E40" s="382"/>
      <c r="F40" s="382" t="s">
        <v>78</v>
      </c>
      <c r="G40" s="383">
        <v>12</v>
      </c>
      <c r="H40" s="382">
        <v>551.02</v>
      </c>
      <c r="I40" s="382">
        <v>6612.27</v>
      </c>
      <c r="J40" s="385">
        <v>0.2</v>
      </c>
      <c r="K40" s="382">
        <v>1322.46</v>
      </c>
      <c r="L40" s="382">
        <v>7934.73</v>
      </c>
      <c r="M40" s="648"/>
      <c r="N40" s="386">
        <f>(H40+H40/100*O14)+((H40+H40/100*O14)/100*20)</f>
        <v>678.55027223401885</v>
      </c>
      <c r="O40" s="651"/>
      <c r="P40" s="648"/>
    </row>
    <row r="41" spans="1:19" ht="15" customHeight="1" x14ac:dyDescent="0.25">
      <c r="A41" s="646"/>
      <c r="B41" s="382" t="s">
        <v>350</v>
      </c>
      <c r="C41" s="382"/>
      <c r="D41" s="382"/>
      <c r="E41" s="382"/>
      <c r="F41" s="382" t="s">
        <v>78</v>
      </c>
      <c r="G41" s="383">
        <v>31</v>
      </c>
      <c r="H41" s="382">
        <v>96.05</v>
      </c>
      <c r="I41" s="382">
        <v>2977.52</v>
      </c>
      <c r="J41" s="385">
        <v>0.2</v>
      </c>
      <c r="K41" s="382">
        <v>595.51</v>
      </c>
      <c r="L41" s="382">
        <v>3573.03</v>
      </c>
      <c r="M41" s="648"/>
      <c r="N41" s="386">
        <f>(H41+H41/100*O14)+((H41+H41/100*O14)/100*20)</f>
        <v>118.28019608739703</v>
      </c>
      <c r="O41" s="651"/>
      <c r="P41" s="648"/>
    </row>
    <row r="42" spans="1:19" ht="15" customHeight="1" x14ac:dyDescent="0.25">
      <c r="A42" s="646"/>
      <c r="B42" s="382" t="s">
        <v>351</v>
      </c>
      <c r="C42" s="382"/>
      <c r="D42" s="382"/>
      <c r="E42" s="382"/>
      <c r="F42" s="382" t="s">
        <v>78</v>
      </c>
      <c r="G42" s="383">
        <v>5</v>
      </c>
      <c r="H42" s="382">
        <v>144.81</v>
      </c>
      <c r="I42" s="382">
        <v>724.07</v>
      </c>
      <c r="J42" s="385">
        <v>0.2</v>
      </c>
      <c r="K42" s="382">
        <v>144.82</v>
      </c>
      <c r="L42" s="382">
        <v>868.89</v>
      </c>
      <c r="M42" s="648"/>
      <c r="N42" s="386">
        <f>(H42+H42/100*O14)+((H42+H42/100*O14)/100*20)</f>
        <v>178.32540547023387</v>
      </c>
      <c r="O42" s="651"/>
      <c r="P42" s="648"/>
    </row>
    <row r="43" spans="1:19" ht="15" customHeight="1" x14ac:dyDescent="0.25">
      <c r="A43" s="646"/>
      <c r="B43" s="382" t="s">
        <v>352</v>
      </c>
      <c r="C43" s="382"/>
      <c r="D43" s="382"/>
      <c r="E43" s="382"/>
      <c r="F43" s="382" t="s">
        <v>78</v>
      </c>
      <c r="G43" s="383">
        <v>8</v>
      </c>
      <c r="H43" s="382">
        <v>197.73</v>
      </c>
      <c r="I43" s="382">
        <v>1581.85</v>
      </c>
      <c r="J43" s="385">
        <v>0.2</v>
      </c>
      <c r="K43" s="382">
        <v>316.37</v>
      </c>
      <c r="L43" s="382">
        <v>1898.22</v>
      </c>
      <c r="M43" s="648"/>
      <c r="N43" s="386">
        <f>(H43+H43/100*O14)+((H43+H43/100*O14)/100*20)</f>
        <v>243.49342188819378</v>
      </c>
      <c r="O43" s="651"/>
      <c r="P43" s="648"/>
    </row>
    <row r="44" spans="1:19" ht="15" customHeight="1" x14ac:dyDescent="0.25">
      <c r="A44" s="646"/>
      <c r="B44" s="382" t="s">
        <v>353</v>
      </c>
      <c r="C44" s="382"/>
      <c r="D44" s="382"/>
      <c r="E44" s="382"/>
      <c r="F44" s="382" t="s">
        <v>78</v>
      </c>
      <c r="G44" s="383">
        <v>2</v>
      </c>
      <c r="H44" s="382">
        <v>319.56</v>
      </c>
      <c r="I44" s="382">
        <v>639.11</v>
      </c>
      <c r="J44" s="385">
        <v>0.2</v>
      </c>
      <c r="K44" s="382">
        <v>127.82</v>
      </c>
      <c r="L44" s="382">
        <v>766.93</v>
      </c>
      <c r="M44" s="648"/>
      <c r="N44" s="386">
        <f>(H44+H44/100*O14)+((H44+H44/100*O14)/100*20)</f>
        <v>393.52024426536792</v>
      </c>
      <c r="O44" s="651"/>
      <c r="P44" s="648"/>
    </row>
    <row r="45" spans="1:19" ht="15" customHeight="1" x14ac:dyDescent="0.25">
      <c r="A45" s="646"/>
      <c r="B45" s="382" t="s">
        <v>354</v>
      </c>
      <c r="C45" s="382"/>
      <c r="D45" s="382"/>
      <c r="E45" s="382"/>
      <c r="F45" s="382" t="s">
        <v>78</v>
      </c>
      <c r="G45" s="383">
        <v>2</v>
      </c>
      <c r="H45" s="382">
        <v>556.65</v>
      </c>
      <c r="I45" s="382">
        <v>1113.29</v>
      </c>
      <c r="J45" s="385">
        <v>0.2</v>
      </c>
      <c r="K45" s="382">
        <v>222.66</v>
      </c>
      <c r="L45" s="382">
        <v>1335.95</v>
      </c>
      <c r="M45" s="649"/>
      <c r="N45" s="386">
        <f>(H45+H45/100*O14)+((H45+H45/100*O14)/100*20)</f>
        <v>685.48330194741857</v>
      </c>
      <c r="O45" s="652"/>
      <c r="P45" s="649"/>
      <c r="R45" s="387"/>
      <c r="S45" s="387"/>
    </row>
    <row r="46" spans="1:19" ht="15" customHeight="1" x14ac:dyDescent="0.25">
      <c r="A46" s="634" t="s">
        <v>355</v>
      </c>
      <c r="B46" s="653" t="s">
        <v>356</v>
      </c>
      <c r="C46" s="654"/>
      <c r="D46" s="654"/>
      <c r="E46" s="655"/>
      <c r="F46" s="388" t="s">
        <v>357</v>
      </c>
      <c r="G46" s="388">
        <v>50</v>
      </c>
      <c r="H46" s="389">
        <f>I46/G46</f>
        <v>7251.9256000000005</v>
      </c>
      <c r="I46" s="389">
        <v>362596.28</v>
      </c>
      <c r="J46" s="390">
        <v>0.2</v>
      </c>
      <c r="K46" s="389">
        <f>I46/100*20</f>
        <v>72519.256000000008</v>
      </c>
      <c r="L46" s="389">
        <f>I46+K46</f>
        <v>435115.53600000002</v>
      </c>
      <c r="M46" s="637">
        <f>I46+I47+I48+I49</f>
        <v>1109091.3700000001</v>
      </c>
      <c r="N46" s="389">
        <f>(H46+H46/100*O46)+((H46+H46/100*O46)/100*20)</f>
        <v>10661.365029058976</v>
      </c>
      <c r="O46" s="637">
        <f>P46/((M46)/100)</f>
        <v>22.511886464322593</v>
      </c>
      <c r="P46" s="640">
        <f>J123+J124</f>
        <v>249677.39</v>
      </c>
    </row>
    <row r="47" spans="1:19" x14ac:dyDescent="0.25">
      <c r="A47" s="635"/>
      <c r="B47" s="653" t="s">
        <v>358</v>
      </c>
      <c r="C47" s="654"/>
      <c r="D47" s="654"/>
      <c r="E47" s="655"/>
      <c r="F47" s="388" t="s">
        <v>357</v>
      </c>
      <c r="G47" s="388">
        <v>10</v>
      </c>
      <c r="H47" s="389">
        <f t="shared" ref="H47:H54" si="0">I47/G47</f>
        <v>11104.511999999999</v>
      </c>
      <c r="I47" s="389">
        <v>111045.12</v>
      </c>
      <c r="J47" s="390">
        <v>0.2</v>
      </c>
      <c r="K47" s="389">
        <f t="shared" ref="K47:K54" si="1">I47/100*20</f>
        <v>22209.023999999998</v>
      </c>
      <c r="L47" s="389">
        <f t="shared" ref="L47:L72" si="2">I47+K47</f>
        <v>133254.144</v>
      </c>
      <c r="M47" s="638"/>
      <c r="N47" s="389">
        <f>(H47+H47/100*O46)+((H47+H47/100*O46)/100*20)</f>
        <v>16325.216560628491</v>
      </c>
      <c r="O47" s="638"/>
      <c r="P47" s="641"/>
      <c r="Q47">
        <f>H48*1.2*1.2</f>
        <v>21190.126319999996</v>
      </c>
    </row>
    <row r="48" spans="1:19" x14ac:dyDescent="0.25">
      <c r="A48" s="635"/>
      <c r="B48" s="653" t="s">
        <v>359</v>
      </c>
      <c r="C48" s="654"/>
      <c r="D48" s="654"/>
      <c r="E48" s="655"/>
      <c r="F48" s="388" t="s">
        <v>357</v>
      </c>
      <c r="G48" s="388">
        <v>40</v>
      </c>
      <c r="H48" s="389">
        <f t="shared" si="0"/>
        <v>14715.3655</v>
      </c>
      <c r="I48" s="389">
        <v>588614.62</v>
      </c>
      <c r="J48" s="390">
        <v>0.2</v>
      </c>
      <c r="K48" s="389">
        <f t="shared" si="1"/>
        <v>117722.924</v>
      </c>
      <c r="L48" s="389">
        <f t="shared" si="2"/>
        <v>706337.54399999999</v>
      </c>
      <c r="M48" s="638"/>
      <c r="N48" s="389">
        <f>(H48+H48/100*O46)+((H48+H48/100*O46)/100*20)</f>
        <v>21633.686249004113</v>
      </c>
      <c r="O48" s="638"/>
      <c r="P48" s="641"/>
    </row>
    <row r="49" spans="1:17" x14ac:dyDescent="0.25">
      <c r="A49" s="636"/>
      <c r="B49" s="653" t="s">
        <v>360</v>
      </c>
      <c r="C49" s="654"/>
      <c r="D49" s="654"/>
      <c r="E49" s="655"/>
      <c r="F49" s="388" t="s">
        <v>357</v>
      </c>
      <c r="G49" s="388">
        <v>10</v>
      </c>
      <c r="H49" s="389">
        <f t="shared" si="0"/>
        <v>4683.5349999999999</v>
      </c>
      <c r="I49" s="389">
        <v>46835.35</v>
      </c>
      <c r="J49" s="390">
        <v>0.2</v>
      </c>
      <c r="K49" s="389">
        <f t="shared" si="1"/>
        <v>9367.07</v>
      </c>
      <c r="L49" s="389">
        <f t="shared" si="2"/>
        <v>56202.42</v>
      </c>
      <c r="M49" s="639"/>
      <c r="N49" s="389">
        <f>(H49+H49/100*O46)+((H49+H49/100*O46)/100*20)</f>
        <v>6885.4644980601734</v>
      </c>
      <c r="O49" s="639"/>
      <c r="P49" s="642"/>
    </row>
    <row r="50" spans="1:17" x14ac:dyDescent="0.25">
      <c r="A50" s="616" t="s">
        <v>361</v>
      </c>
      <c r="B50" s="631" t="s">
        <v>362</v>
      </c>
      <c r="C50" s="632"/>
      <c r="D50" s="632"/>
      <c r="E50" s="633"/>
      <c r="F50" s="391" t="s">
        <v>357</v>
      </c>
      <c r="G50" s="391">
        <v>3</v>
      </c>
      <c r="H50" s="392">
        <f>1020*65</f>
        <v>66300</v>
      </c>
      <c r="I50" s="392">
        <v>46797.4</v>
      </c>
      <c r="J50" s="393">
        <v>0.2</v>
      </c>
      <c r="K50" s="392">
        <f t="shared" si="1"/>
        <v>9359.48</v>
      </c>
      <c r="L50" s="392">
        <f t="shared" si="2"/>
        <v>56156.880000000005</v>
      </c>
      <c r="M50" s="619">
        <f>I50+I51+I52+I53+I54</f>
        <v>496089.82</v>
      </c>
      <c r="N50" s="392">
        <f>(H50+H50/100*O50)+((H50+H50/100*O50)/100*20)</f>
        <v>102301.59973127447</v>
      </c>
      <c r="O50" s="619">
        <f>P50/(M50/100)</f>
        <v>28.58421283468385</v>
      </c>
      <c r="P50" s="619">
        <f>J133+J132</f>
        <v>141803.37</v>
      </c>
    </row>
    <row r="51" spans="1:17" x14ac:dyDescent="0.25">
      <c r="A51" s="617"/>
      <c r="B51" s="631" t="s">
        <v>363</v>
      </c>
      <c r="C51" s="632"/>
      <c r="D51" s="632"/>
      <c r="E51" s="633"/>
      <c r="F51" s="391" t="s">
        <v>357</v>
      </c>
      <c r="G51" s="391">
        <v>2</v>
      </c>
      <c r="H51" s="392">
        <f t="shared" si="0"/>
        <v>77729.77</v>
      </c>
      <c r="I51" s="392">
        <v>155459.54</v>
      </c>
      <c r="J51" s="393">
        <v>0.2</v>
      </c>
      <c r="K51" s="392">
        <f t="shared" si="1"/>
        <v>31091.908000000003</v>
      </c>
      <c r="L51" s="392">
        <f t="shared" si="2"/>
        <v>186551.448</v>
      </c>
      <c r="M51" s="620"/>
      <c r="N51" s="392">
        <f>(H51+H51/100*O50)+((H51+H51/100*O50)/100*20)</f>
        <v>119937.85547125229</v>
      </c>
      <c r="O51" s="622"/>
      <c r="P51" s="620"/>
    </row>
    <row r="52" spans="1:17" x14ac:dyDescent="0.25">
      <c r="A52" s="617"/>
      <c r="B52" s="631" t="s">
        <v>364</v>
      </c>
      <c r="C52" s="632"/>
      <c r="D52" s="632"/>
      <c r="E52" s="633"/>
      <c r="F52" s="391" t="s">
        <v>357</v>
      </c>
      <c r="G52" s="391">
        <v>2</v>
      </c>
      <c r="H52" s="392">
        <f t="shared" si="0"/>
        <v>25555.395</v>
      </c>
      <c r="I52" s="392">
        <v>51110.79</v>
      </c>
      <c r="J52" s="393">
        <v>0.2</v>
      </c>
      <c r="K52" s="392">
        <f t="shared" si="1"/>
        <v>10222.158000000001</v>
      </c>
      <c r="L52" s="392">
        <f t="shared" si="2"/>
        <v>61332.948000000004</v>
      </c>
      <c r="M52" s="620"/>
      <c r="N52" s="392">
        <f>(H52+H52/100*O50)+((H52+H52/100*O50)/100*20)</f>
        <v>39432.244197052991</v>
      </c>
      <c r="O52" s="622"/>
      <c r="P52" s="620"/>
      <c r="Q52" s="387"/>
    </row>
    <row r="53" spans="1:17" x14ac:dyDescent="0.25">
      <c r="A53" s="617"/>
      <c r="B53" s="631" t="s">
        <v>365</v>
      </c>
      <c r="C53" s="632"/>
      <c r="D53" s="632"/>
      <c r="E53" s="633"/>
      <c r="F53" s="391" t="s">
        <v>357</v>
      </c>
      <c r="G53" s="391">
        <v>3</v>
      </c>
      <c r="H53" s="392">
        <f t="shared" si="0"/>
        <v>39756.120000000003</v>
      </c>
      <c r="I53" s="392">
        <v>119268.36</v>
      </c>
      <c r="J53" s="393">
        <v>0.2</v>
      </c>
      <c r="K53" s="392">
        <f t="shared" si="1"/>
        <v>23853.672000000002</v>
      </c>
      <c r="L53" s="392">
        <f t="shared" si="2"/>
        <v>143122.03200000001</v>
      </c>
      <c r="M53" s="620"/>
      <c r="N53" s="392">
        <f>(H53+H53/100*O50)+((H53+H53/100*O50)/100*20)</f>
        <v>61344.112746734783</v>
      </c>
      <c r="O53" s="622"/>
      <c r="P53" s="620"/>
    </row>
    <row r="54" spans="1:17" x14ac:dyDescent="0.25">
      <c r="A54" s="618"/>
      <c r="B54" s="631" t="s">
        <v>366</v>
      </c>
      <c r="C54" s="632"/>
      <c r="D54" s="632"/>
      <c r="E54" s="633"/>
      <c r="F54" s="391" t="s">
        <v>357</v>
      </c>
      <c r="G54" s="391">
        <v>2</v>
      </c>
      <c r="H54" s="392">
        <f t="shared" si="0"/>
        <v>61726.864999999998</v>
      </c>
      <c r="I54" s="392">
        <v>123453.73</v>
      </c>
      <c r="J54" s="393">
        <v>0.2</v>
      </c>
      <c r="K54" s="392">
        <f t="shared" si="1"/>
        <v>24690.745999999999</v>
      </c>
      <c r="L54" s="392">
        <f t="shared" si="2"/>
        <v>148144.476</v>
      </c>
      <c r="M54" s="621"/>
      <c r="N54" s="392">
        <f>(H54+H54/100*O50)+((H54+H54/100*O50)/100*20)</f>
        <v>95245.204161333575</v>
      </c>
      <c r="O54" s="623"/>
      <c r="P54" s="621"/>
    </row>
    <row r="55" spans="1:17" x14ac:dyDescent="0.25">
      <c r="A55" s="624"/>
      <c r="B55" s="613" t="s">
        <v>367</v>
      </c>
      <c r="C55" s="614"/>
      <c r="D55" s="614"/>
      <c r="E55" s="615"/>
      <c r="F55" s="394"/>
      <c r="G55" s="394">
        <v>1</v>
      </c>
      <c r="H55" s="394">
        <f>I55/G55</f>
        <v>11428.33</v>
      </c>
      <c r="I55" s="394">
        <v>11428.33</v>
      </c>
      <c r="J55" s="395">
        <v>0.2</v>
      </c>
      <c r="K55" s="396">
        <f>I55/100*20</f>
        <v>2285.6660000000002</v>
      </c>
      <c r="L55" s="396">
        <f t="shared" si="2"/>
        <v>13713.995999999999</v>
      </c>
      <c r="M55" s="625">
        <f>SUM(I55:I70)</f>
        <v>287486.67</v>
      </c>
      <c r="N55" s="396">
        <f>(H55+H55/100*O55)+((H55+H55/100*O55)/100*20)</f>
        <v>15224.59313481672</v>
      </c>
      <c r="O55" s="628">
        <f>P55/(M55/100)</f>
        <v>11.015003466653486</v>
      </c>
      <c r="P55" s="628">
        <f>K116</f>
        <v>31666.666666666668</v>
      </c>
    </row>
    <row r="56" spans="1:17" x14ac:dyDescent="0.25">
      <c r="A56" s="624"/>
      <c r="B56" s="613" t="s">
        <v>368</v>
      </c>
      <c r="C56" s="614"/>
      <c r="D56" s="614"/>
      <c r="E56" s="615"/>
      <c r="F56" s="394"/>
      <c r="G56" s="394">
        <v>1</v>
      </c>
      <c r="H56" s="396">
        <f t="shared" ref="H56:H70" si="3">I56/G56</f>
        <v>10621.67</v>
      </c>
      <c r="I56" s="396">
        <v>10621.67</v>
      </c>
      <c r="J56" s="395">
        <v>0.2</v>
      </c>
      <c r="K56" s="396">
        <f t="shared" ref="K56:K70" si="4">I56/100*20</f>
        <v>2124.3339999999998</v>
      </c>
      <c r="L56" s="396">
        <f t="shared" si="2"/>
        <v>12746.004000000001</v>
      </c>
      <c r="M56" s="626"/>
      <c r="N56" s="396">
        <f>(H56+H56/100*O55)+((H56+H56/100*O55)/100*20)</f>
        <v>14149.976782459793</v>
      </c>
      <c r="O56" s="629"/>
      <c r="P56" s="626"/>
    </row>
    <row r="57" spans="1:17" x14ac:dyDescent="0.25">
      <c r="A57" s="624"/>
      <c r="B57" s="613" t="s">
        <v>369</v>
      </c>
      <c r="C57" s="614"/>
      <c r="D57" s="614"/>
      <c r="E57" s="615"/>
      <c r="F57" s="394"/>
      <c r="G57" s="394">
        <v>1</v>
      </c>
      <c r="H57" s="396">
        <f t="shared" si="3"/>
        <v>19810</v>
      </c>
      <c r="I57" s="396">
        <v>19810</v>
      </c>
      <c r="J57" s="395">
        <v>0.2</v>
      </c>
      <c r="K57" s="396">
        <f t="shared" si="4"/>
        <v>3962</v>
      </c>
      <c r="L57" s="396">
        <f t="shared" si="2"/>
        <v>23772</v>
      </c>
      <c r="M57" s="626"/>
      <c r="N57" s="396">
        <f>(H57+H57/100*O55)+((H57+H57/100*O55)/100*20)</f>
        <v>26390.486624092868</v>
      </c>
      <c r="O57" s="629"/>
      <c r="P57" s="626"/>
    </row>
    <row r="58" spans="1:17" x14ac:dyDescent="0.25">
      <c r="A58" s="624"/>
      <c r="B58" s="613" t="s">
        <v>370</v>
      </c>
      <c r="C58" s="614"/>
      <c r="D58" s="614"/>
      <c r="E58" s="615"/>
      <c r="F58" s="394"/>
      <c r="G58" s="394">
        <v>1</v>
      </c>
      <c r="H58" s="396">
        <f t="shared" si="3"/>
        <v>18416.669999999998</v>
      </c>
      <c r="I58" s="396">
        <v>18416.669999999998</v>
      </c>
      <c r="J58" s="395">
        <v>0.2</v>
      </c>
      <c r="K58" s="396">
        <f t="shared" si="4"/>
        <v>3683.3339999999998</v>
      </c>
      <c r="L58" s="396">
        <f t="shared" si="2"/>
        <v>22100.003999999997</v>
      </c>
      <c r="M58" s="626"/>
      <c r="N58" s="396">
        <f>(H58+H58/100*O55)+((H58+H58/100*O55)/100*20)</f>
        <v>24534.320206730557</v>
      </c>
      <c r="O58" s="629"/>
      <c r="P58" s="626"/>
    </row>
    <row r="59" spans="1:17" x14ac:dyDescent="0.25">
      <c r="A59" s="624"/>
      <c r="B59" s="613" t="s">
        <v>371</v>
      </c>
      <c r="C59" s="614"/>
      <c r="D59" s="614"/>
      <c r="E59" s="615"/>
      <c r="F59" s="394"/>
      <c r="G59" s="394">
        <v>1</v>
      </c>
      <c r="H59" s="396">
        <f t="shared" si="3"/>
        <v>3090</v>
      </c>
      <c r="I59" s="396">
        <v>3090</v>
      </c>
      <c r="J59" s="395">
        <v>0.2</v>
      </c>
      <c r="K59" s="396">
        <f t="shared" si="4"/>
        <v>618</v>
      </c>
      <c r="L59" s="396">
        <f t="shared" si="2"/>
        <v>3708</v>
      </c>
      <c r="M59" s="626"/>
      <c r="N59" s="396">
        <f>(H59+H59/100*O55)+((H59+H59/100*O55)/100*20)</f>
        <v>4116.436328543512</v>
      </c>
      <c r="O59" s="629"/>
      <c r="P59" s="626"/>
    </row>
    <row r="60" spans="1:17" x14ac:dyDescent="0.25">
      <c r="A60" s="624"/>
      <c r="B60" s="613" t="s">
        <v>372</v>
      </c>
      <c r="C60" s="614"/>
      <c r="D60" s="614"/>
      <c r="E60" s="615"/>
      <c r="F60" s="394"/>
      <c r="G60" s="394">
        <v>1</v>
      </c>
      <c r="H60" s="396">
        <f t="shared" si="3"/>
        <v>2870</v>
      </c>
      <c r="I60" s="396">
        <v>2870</v>
      </c>
      <c r="J60" s="395">
        <v>0.2</v>
      </c>
      <c r="K60" s="396">
        <f t="shared" si="4"/>
        <v>574</v>
      </c>
      <c r="L60" s="396">
        <f t="shared" si="2"/>
        <v>3444</v>
      </c>
      <c r="M60" s="626"/>
      <c r="N60" s="396">
        <f>(H60+H60/100*O55)+((H60+H60/100*O55)/100*20)</f>
        <v>3823.356719391546</v>
      </c>
      <c r="O60" s="629"/>
      <c r="P60" s="626"/>
    </row>
    <row r="61" spans="1:17" x14ac:dyDescent="0.25">
      <c r="A61" s="624"/>
      <c r="B61" s="613" t="s">
        <v>373</v>
      </c>
      <c r="C61" s="614"/>
      <c r="D61" s="614"/>
      <c r="E61" s="615"/>
      <c r="F61" s="394"/>
      <c r="G61" s="394">
        <v>1</v>
      </c>
      <c r="H61" s="396">
        <f t="shared" si="3"/>
        <v>37913.33</v>
      </c>
      <c r="I61" s="396">
        <v>37913.33</v>
      </c>
      <c r="J61" s="395">
        <v>0.2</v>
      </c>
      <c r="K61" s="396">
        <f t="shared" si="4"/>
        <v>7582.6660000000002</v>
      </c>
      <c r="L61" s="396">
        <f t="shared" si="2"/>
        <v>45495.995999999999</v>
      </c>
      <c r="M61" s="626"/>
      <c r="N61" s="396">
        <f>(H61+H61/100*O55)+((H61+H61/100*O55)/100*20)</f>
        <v>50507.381536588531</v>
      </c>
      <c r="O61" s="629"/>
      <c r="P61" s="626"/>
    </row>
    <row r="62" spans="1:17" x14ac:dyDescent="0.25">
      <c r="A62" s="624"/>
      <c r="B62" s="613" t="s">
        <v>374</v>
      </c>
      <c r="C62" s="614"/>
      <c r="D62" s="614"/>
      <c r="E62" s="615"/>
      <c r="F62" s="394"/>
      <c r="G62" s="394">
        <v>1</v>
      </c>
      <c r="H62" s="396">
        <f t="shared" si="3"/>
        <v>35346.67</v>
      </c>
      <c r="I62" s="396">
        <v>35346.67</v>
      </c>
      <c r="J62" s="395">
        <v>0.2</v>
      </c>
      <c r="K62" s="396">
        <f t="shared" si="4"/>
        <v>7069.3339999999998</v>
      </c>
      <c r="L62" s="396">
        <f t="shared" si="2"/>
        <v>42416.004000000001</v>
      </c>
      <c r="M62" s="626"/>
      <c r="N62" s="396">
        <f>(H62+H62/100*O55)+((H62+H62/100*O55)/100*20)</f>
        <v>47088.128311015877</v>
      </c>
      <c r="O62" s="629"/>
      <c r="P62" s="626"/>
      <c r="Q62" s="387"/>
    </row>
    <row r="63" spans="1:17" x14ac:dyDescent="0.25">
      <c r="A63" s="624"/>
      <c r="B63" s="613" t="s">
        <v>375</v>
      </c>
      <c r="C63" s="614"/>
      <c r="D63" s="614"/>
      <c r="E63" s="615"/>
      <c r="F63" s="394"/>
      <c r="G63" s="394">
        <v>1</v>
      </c>
      <c r="H63" s="396">
        <f t="shared" si="3"/>
        <v>4628.33</v>
      </c>
      <c r="I63" s="396">
        <v>4628.33</v>
      </c>
      <c r="J63" s="395">
        <v>0.2</v>
      </c>
      <c r="K63" s="396">
        <f t="shared" si="4"/>
        <v>925.66599999999994</v>
      </c>
      <c r="L63" s="396">
        <f t="shared" si="2"/>
        <v>5553.9960000000001</v>
      </c>
      <c r="M63" s="626"/>
      <c r="N63" s="396">
        <f>(H63+H63/100*O55)+((H63+H63/100*O55)/100*20)</f>
        <v>6165.7688519377953</v>
      </c>
      <c r="O63" s="629"/>
      <c r="P63" s="626"/>
    </row>
    <row r="64" spans="1:17" x14ac:dyDescent="0.25">
      <c r="A64" s="624"/>
      <c r="B64" s="613" t="s">
        <v>376</v>
      </c>
      <c r="C64" s="614"/>
      <c r="D64" s="614"/>
      <c r="E64" s="615"/>
      <c r="F64" s="394"/>
      <c r="G64" s="394">
        <v>1</v>
      </c>
      <c r="H64" s="396">
        <f t="shared" si="3"/>
        <v>4261.67</v>
      </c>
      <c r="I64" s="396">
        <v>4261.67</v>
      </c>
      <c r="J64" s="395">
        <v>0.2</v>
      </c>
      <c r="K64" s="396">
        <f t="shared" si="4"/>
        <v>852.33400000000006</v>
      </c>
      <c r="L64" s="396">
        <f t="shared" si="2"/>
        <v>5114.0039999999999</v>
      </c>
      <c r="M64" s="626"/>
      <c r="N64" s="396">
        <f>(H64+H64/100*O55)+((H64+H64/100*O55)/100*20)</f>
        <v>5677.3117178847988</v>
      </c>
      <c r="O64" s="629"/>
      <c r="P64" s="626"/>
    </row>
    <row r="65" spans="1:18" x14ac:dyDescent="0.25">
      <c r="A65" s="624"/>
      <c r="B65" s="613" t="s">
        <v>377</v>
      </c>
      <c r="C65" s="614"/>
      <c r="D65" s="614"/>
      <c r="E65" s="615"/>
      <c r="F65" s="394"/>
      <c r="G65" s="394">
        <v>1</v>
      </c>
      <c r="H65" s="396">
        <f t="shared" si="3"/>
        <v>55886.67</v>
      </c>
      <c r="I65" s="396">
        <v>55886.67</v>
      </c>
      <c r="J65" s="395">
        <v>0.2</v>
      </c>
      <c r="K65" s="396">
        <f t="shared" si="4"/>
        <v>11177.334000000001</v>
      </c>
      <c r="L65" s="396">
        <f t="shared" si="2"/>
        <v>67064.004000000001</v>
      </c>
      <c r="M65" s="626"/>
      <c r="N65" s="396">
        <f>(H65+H65/100*O55)+((H65+H65/100*O55)/100*20)</f>
        <v>74451.106365476633</v>
      </c>
      <c r="O65" s="629"/>
      <c r="P65" s="626"/>
    </row>
    <row r="66" spans="1:18" x14ac:dyDescent="0.25">
      <c r="A66" s="624"/>
      <c r="B66" s="613" t="s">
        <v>378</v>
      </c>
      <c r="C66" s="614"/>
      <c r="D66" s="614"/>
      <c r="E66" s="615"/>
      <c r="F66" s="394"/>
      <c r="G66" s="394">
        <v>1</v>
      </c>
      <c r="H66" s="396">
        <f t="shared" si="3"/>
        <v>52073.33</v>
      </c>
      <c r="I66" s="396">
        <v>52073.33</v>
      </c>
      <c r="J66" s="395">
        <v>0.2</v>
      </c>
      <c r="K66" s="396">
        <f t="shared" si="4"/>
        <v>10414.665999999999</v>
      </c>
      <c r="L66" s="396">
        <f t="shared" si="2"/>
        <v>62487.995999999999</v>
      </c>
      <c r="M66" s="626"/>
      <c r="N66" s="396">
        <f>(H66+H66/100*O55)+((H66+H66/100*O55)/100*20)</f>
        <v>69371.050925642296</v>
      </c>
      <c r="O66" s="629"/>
      <c r="P66" s="626"/>
    </row>
    <row r="67" spans="1:18" x14ac:dyDescent="0.25">
      <c r="A67" s="624"/>
      <c r="B67" s="613" t="s">
        <v>379</v>
      </c>
      <c r="C67" s="614"/>
      <c r="D67" s="614"/>
      <c r="E67" s="615"/>
      <c r="F67" s="394"/>
      <c r="G67" s="394">
        <v>1</v>
      </c>
      <c r="H67" s="396">
        <f t="shared" si="3"/>
        <v>7151.67</v>
      </c>
      <c r="I67" s="396">
        <v>7151.67</v>
      </c>
      <c r="J67" s="395">
        <v>0.2</v>
      </c>
      <c r="K67" s="396">
        <f t="shared" si="4"/>
        <v>1430.3340000000001</v>
      </c>
      <c r="L67" s="396">
        <f t="shared" si="2"/>
        <v>8582.0040000000008</v>
      </c>
      <c r="M67" s="626"/>
      <c r="N67" s="396">
        <f>(H67+H67/100*O55)+((H67+H67/100*O55)/100*20)</f>
        <v>9527.3120381083409</v>
      </c>
      <c r="O67" s="629"/>
      <c r="P67" s="626"/>
    </row>
    <row r="68" spans="1:18" x14ac:dyDescent="0.25">
      <c r="A68" s="624"/>
      <c r="B68" s="613" t="s">
        <v>380</v>
      </c>
      <c r="C68" s="614"/>
      <c r="D68" s="614"/>
      <c r="E68" s="615"/>
      <c r="F68" s="394"/>
      <c r="G68" s="394">
        <v>1</v>
      </c>
      <c r="H68" s="396">
        <f t="shared" si="3"/>
        <v>6638.33</v>
      </c>
      <c r="I68" s="396">
        <v>6638.33</v>
      </c>
      <c r="J68" s="395">
        <v>0.2</v>
      </c>
      <c r="K68" s="396">
        <f t="shared" si="4"/>
        <v>1327.6660000000002</v>
      </c>
      <c r="L68" s="396">
        <f t="shared" si="2"/>
        <v>7965.9960000000001</v>
      </c>
      <c r="M68" s="626"/>
      <c r="N68" s="396">
        <f>(H68+H68/100*O55)+((H68+H68/100*O55)/100*20)</f>
        <v>8843.450735553477</v>
      </c>
      <c r="O68" s="629"/>
      <c r="P68" s="626"/>
    </row>
    <row r="69" spans="1:18" x14ac:dyDescent="0.25">
      <c r="A69" s="624"/>
      <c r="B69" s="613" t="s">
        <v>381</v>
      </c>
      <c r="C69" s="614"/>
      <c r="D69" s="614"/>
      <c r="E69" s="615"/>
      <c r="F69" s="394"/>
      <c r="G69" s="394">
        <v>1</v>
      </c>
      <c r="H69" s="396">
        <f t="shared" si="3"/>
        <v>9005</v>
      </c>
      <c r="I69" s="396">
        <v>9005</v>
      </c>
      <c r="J69" s="395">
        <v>0.2</v>
      </c>
      <c r="K69" s="396">
        <f t="shared" si="4"/>
        <v>1801</v>
      </c>
      <c r="L69" s="396">
        <f t="shared" si="2"/>
        <v>10806</v>
      </c>
      <c r="M69" s="626"/>
      <c r="N69" s="396">
        <f>(H69+H69/100*O55)+((H69+H69/100*O55)/100*20)</f>
        <v>11996.281274606576</v>
      </c>
      <c r="O69" s="629"/>
      <c r="P69" s="626"/>
    </row>
    <row r="70" spans="1:18" x14ac:dyDescent="0.25">
      <c r="A70" s="624"/>
      <c r="B70" s="613" t="s">
        <v>382</v>
      </c>
      <c r="C70" s="614"/>
      <c r="D70" s="614"/>
      <c r="E70" s="615"/>
      <c r="F70" s="394"/>
      <c r="G70" s="394">
        <v>1</v>
      </c>
      <c r="H70" s="396">
        <f t="shared" si="3"/>
        <v>8345</v>
      </c>
      <c r="I70" s="396">
        <v>8345</v>
      </c>
      <c r="J70" s="395">
        <v>0.2</v>
      </c>
      <c r="K70" s="396">
        <f t="shared" si="4"/>
        <v>1669</v>
      </c>
      <c r="L70" s="396">
        <f t="shared" si="2"/>
        <v>10014</v>
      </c>
      <c r="M70" s="627"/>
      <c r="N70" s="396">
        <f>(H70+H70/100*O55)+((H70+H70/100*O55)/100*20)</f>
        <v>11117.042447150679</v>
      </c>
      <c r="O70" s="630"/>
      <c r="P70" s="627"/>
    </row>
    <row r="71" spans="1:18" x14ac:dyDescent="0.25">
      <c r="A71" s="597"/>
      <c r="B71" s="397" t="s">
        <v>383</v>
      </c>
      <c r="C71" s="397"/>
      <c r="D71" s="397"/>
      <c r="E71" s="397"/>
      <c r="F71" s="397"/>
      <c r="G71" s="397">
        <v>5</v>
      </c>
      <c r="H71" s="398">
        <f>I71/G71</f>
        <v>891.66599999999994</v>
      </c>
      <c r="I71" s="397">
        <v>4458.33</v>
      </c>
      <c r="J71" s="399">
        <v>0.2</v>
      </c>
      <c r="K71" s="398">
        <f t="shared" ref="K71:K78" si="5">I71/100*20</f>
        <v>891.66600000000005</v>
      </c>
      <c r="L71" s="398">
        <f t="shared" si="2"/>
        <v>5349.9960000000001</v>
      </c>
      <c r="M71" s="598"/>
      <c r="N71" s="398">
        <f>L71/G71</f>
        <v>1069.9992</v>
      </c>
      <c r="O71" s="598"/>
      <c r="P71" s="611"/>
    </row>
    <row r="72" spans="1:18" ht="15.75" thickBot="1" x14ac:dyDescent="0.3">
      <c r="A72" s="597"/>
      <c r="B72" s="397" t="s">
        <v>384</v>
      </c>
      <c r="C72" s="397"/>
      <c r="D72" s="397"/>
      <c r="E72" s="397"/>
      <c r="F72" s="397"/>
      <c r="G72" s="397">
        <v>5</v>
      </c>
      <c r="H72" s="398">
        <f>I72/G72</f>
        <v>1308.3340000000001</v>
      </c>
      <c r="I72" s="397">
        <v>6541.67</v>
      </c>
      <c r="J72" s="399">
        <v>0.2</v>
      </c>
      <c r="K72" s="398">
        <f t="shared" si="5"/>
        <v>1308.3340000000001</v>
      </c>
      <c r="L72" s="398">
        <f t="shared" si="2"/>
        <v>7850.0039999999999</v>
      </c>
      <c r="M72" s="599"/>
      <c r="N72" s="398">
        <f>L72/G72</f>
        <v>1570.0008</v>
      </c>
      <c r="O72" s="599"/>
      <c r="P72" s="612"/>
      <c r="Q72" s="4"/>
    </row>
    <row r="73" spans="1:18" ht="15" customHeight="1" x14ac:dyDescent="0.25">
      <c r="A73" s="600"/>
      <c r="B73" s="591" t="s">
        <v>385</v>
      </c>
      <c r="C73" s="591"/>
      <c r="D73" s="591"/>
      <c r="E73" s="591"/>
      <c r="F73" s="601" t="s">
        <v>386</v>
      </c>
      <c r="G73" s="400">
        <v>20</v>
      </c>
      <c r="H73" s="401">
        <f>I73/G73</f>
        <v>455.83350000000002</v>
      </c>
      <c r="I73" s="400">
        <v>9116.67</v>
      </c>
      <c r="J73" s="402">
        <v>0.2</v>
      </c>
      <c r="K73" s="401">
        <f t="shared" si="5"/>
        <v>1823.3340000000001</v>
      </c>
      <c r="L73" s="401">
        <f t="shared" ref="L73:L78" si="6">K73+I73</f>
        <v>10940.004000000001</v>
      </c>
      <c r="M73" s="601">
        <f>I73+I74+I75+I76+I77</f>
        <v>21316.67</v>
      </c>
      <c r="N73" s="401">
        <f>(H73+H73/100*O73)+((H73+H73/100*O73)/100*20)</f>
        <v>675.3035888501347</v>
      </c>
      <c r="O73" s="604">
        <f>P73/(M73/100)</f>
        <v>23.455821195336796</v>
      </c>
      <c r="P73" s="592">
        <f>K118</f>
        <v>5000</v>
      </c>
      <c r="Q73" s="403">
        <f>G73/10</f>
        <v>2</v>
      </c>
      <c r="R73" s="590">
        <f>N73*Q73+N74*Q74+N75*Q75+N76*Q76+N77*Q77</f>
        <v>3158.0003999999999</v>
      </c>
    </row>
    <row r="74" spans="1:18" ht="15" customHeight="1" x14ac:dyDescent="0.25">
      <c r="A74" s="600"/>
      <c r="B74" s="591" t="s">
        <v>387</v>
      </c>
      <c r="C74" s="591"/>
      <c r="D74" s="591"/>
      <c r="E74" s="591"/>
      <c r="F74" s="602"/>
      <c r="G74" s="400">
        <v>40</v>
      </c>
      <c r="H74" s="401">
        <f t="shared" ref="H74:H108" si="7">I74/G74</f>
        <v>50</v>
      </c>
      <c r="I74" s="400">
        <v>2000</v>
      </c>
      <c r="J74" s="402">
        <v>0.2</v>
      </c>
      <c r="K74" s="401">
        <f t="shared" si="5"/>
        <v>400</v>
      </c>
      <c r="L74" s="401">
        <f t="shared" si="6"/>
        <v>2400</v>
      </c>
      <c r="M74" s="602"/>
      <c r="N74" s="401">
        <f>(H74+H74/100*O73)+((H74+H74/100*O73)/100*20)</f>
        <v>74.073492717202072</v>
      </c>
      <c r="O74" s="605"/>
      <c r="P74" s="593"/>
      <c r="Q74" s="404">
        <f>G74/10</f>
        <v>4</v>
      </c>
      <c r="R74" s="590"/>
    </row>
    <row r="75" spans="1:18" ht="15" customHeight="1" x14ac:dyDescent="0.25">
      <c r="A75" s="600"/>
      <c r="B75" s="591" t="s">
        <v>388</v>
      </c>
      <c r="C75" s="591"/>
      <c r="D75" s="591"/>
      <c r="E75" s="591"/>
      <c r="F75" s="602"/>
      <c r="G75" s="400">
        <v>40</v>
      </c>
      <c r="H75" s="401">
        <f t="shared" si="7"/>
        <v>85.833249999999992</v>
      </c>
      <c r="I75" s="400">
        <v>3433.33</v>
      </c>
      <c r="J75" s="402">
        <v>0.2</v>
      </c>
      <c r="K75" s="401">
        <f t="shared" si="5"/>
        <v>686.66600000000005</v>
      </c>
      <c r="L75" s="401">
        <f t="shared" si="6"/>
        <v>4119.9960000000001</v>
      </c>
      <c r="M75" s="602"/>
      <c r="N75" s="401">
        <f>(H75+H75/100*O73)+((H75+H75/100*O73)/100*20)</f>
        <v>127.15937237537568</v>
      </c>
      <c r="O75" s="605"/>
      <c r="P75" s="593"/>
      <c r="Q75" s="404">
        <f>G75/10</f>
        <v>4</v>
      </c>
      <c r="R75" s="590"/>
    </row>
    <row r="76" spans="1:18" x14ac:dyDescent="0.25">
      <c r="A76" s="600"/>
      <c r="B76" s="591" t="s">
        <v>389</v>
      </c>
      <c r="C76" s="591"/>
      <c r="D76" s="591"/>
      <c r="E76" s="591"/>
      <c r="F76" s="602"/>
      <c r="G76" s="400">
        <v>160</v>
      </c>
      <c r="H76" s="401">
        <f t="shared" si="7"/>
        <v>16.666687500000002</v>
      </c>
      <c r="I76" s="400">
        <v>2666.67</v>
      </c>
      <c r="J76" s="402">
        <v>0.2</v>
      </c>
      <c r="K76" s="401">
        <f t="shared" si="5"/>
        <v>533.33400000000006</v>
      </c>
      <c r="L76" s="401">
        <f t="shared" si="6"/>
        <v>3200.0039999999999</v>
      </c>
      <c r="M76" s="602"/>
      <c r="N76" s="401">
        <f>(H76+H76/100*O73)+((H76+H76/100*O73)/100*20)</f>
        <v>24.691195103022661</v>
      </c>
      <c r="O76" s="605"/>
      <c r="P76" s="593"/>
      <c r="Q76" s="404">
        <f>G76/10</f>
        <v>16</v>
      </c>
      <c r="R76" s="590"/>
    </row>
    <row r="77" spans="1:18" ht="15.75" thickBot="1" x14ac:dyDescent="0.3">
      <c r="A77" s="600"/>
      <c r="B77" s="591" t="s">
        <v>390</v>
      </c>
      <c r="C77" s="591"/>
      <c r="D77" s="591"/>
      <c r="E77" s="591"/>
      <c r="F77" s="603"/>
      <c r="G77" s="400">
        <v>60</v>
      </c>
      <c r="H77" s="401">
        <f t="shared" si="7"/>
        <v>68.333333333333329</v>
      </c>
      <c r="I77" s="400">
        <v>4100</v>
      </c>
      <c r="J77" s="402">
        <v>0.2</v>
      </c>
      <c r="K77" s="401">
        <f t="shared" si="5"/>
        <v>820</v>
      </c>
      <c r="L77" s="401">
        <f t="shared" si="6"/>
        <v>4920</v>
      </c>
      <c r="M77" s="603"/>
      <c r="N77" s="401">
        <f>(H77+H77/100*O73)+((H77+H77/100*O73)/100*20)</f>
        <v>101.23377338017617</v>
      </c>
      <c r="O77" s="606"/>
      <c r="P77" s="594"/>
      <c r="Q77" s="10">
        <f>G77/10</f>
        <v>6</v>
      </c>
      <c r="R77" s="590"/>
    </row>
    <row r="78" spans="1:18" x14ac:dyDescent="0.25">
      <c r="A78" s="607"/>
      <c r="B78" s="585" t="s">
        <v>391</v>
      </c>
      <c r="C78" s="585"/>
      <c r="D78" s="585"/>
      <c r="E78" s="585"/>
      <c r="F78" s="405"/>
      <c r="G78" s="406">
        <v>15</v>
      </c>
      <c r="H78" s="407">
        <f t="shared" si="7"/>
        <v>17006.598666666669</v>
      </c>
      <c r="I78" s="408">
        <v>255098.98</v>
      </c>
      <c r="J78" s="409">
        <v>0.2</v>
      </c>
      <c r="K78" s="407">
        <f t="shared" si="5"/>
        <v>51019.796000000002</v>
      </c>
      <c r="L78" s="407">
        <f t="shared" si="6"/>
        <v>306118.77600000001</v>
      </c>
      <c r="M78" s="609">
        <f>SUM(I78:I98)</f>
        <v>3431738.1100000003</v>
      </c>
      <c r="N78" s="407">
        <f>(H78+H78/100*O78)+((H78+H78/100*O78)/100*20)</f>
        <v>21575.837629806494</v>
      </c>
      <c r="O78" s="595">
        <f>P78/(M78/100)</f>
        <v>5.7228728913699065</v>
      </c>
      <c r="P78" s="595">
        <f>K127+J128+J129</f>
        <v>196394.01</v>
      </c>
    </row>
    <row r="79" spans="1:18" x14ac:dyDescent="0.25">
      <c r="A79" s="608"/>
      <c r="B79" s="585" t="s">
        <v>392</v>
      </c>
      <c r="C79" s="585"/>
      <c r="D79" s="585"/>
      <c r="E79" s="585"/>
      <c r="F79" s="405"/>
      <c r="G79" s="406">
        <v>10</v>
      </c>
      <c r="H79" s="407">
        <f t="shared" si="7"/>
        <v>29407.242999999999</v>
      </c>
      <c r="I79" s="408">
        <v>294072.43</v>
      </c>
      <c r="J79" s="409">
        <v>0.2</v>
      </c>
      <c r="K79" s="407">
        <f t="shared" ref="K79:K108" si="8">I79/100*20</f>
        <v>58814.485999999997</v>
      </c>
      <c r="L79" s="407">
        <f t="shared" ref="L79:L108" si="9">K79+I79</f>
        <v>352886.91599999997</v>
      </c>
      <c r="M79" s="610"/>
      <c r="N79" s="407">
        <f>(H79+H79/100*O78)+((H79+H79/100*O78)/100*20)</f>
        <v>37308.21856529553</v>
      </c>
      <c r="O79" s="596"/>
      <c r="P79" s="596"/>
    </row>
    <row r="80" spans="1:18" x14ac:dyDescent="0.25">
      <c r="A80" s="608"/>
      <c r="B80" s="585" t="s">
        <v>393</v>
      </c>
      <c r="C80" s="585"/>
      <c r="D80" s="585"/>
      <c r="E80" s="585"/>
      <c r="F80" s="405"/>
      <c r="G80" s="406">
        <v>5</v>
      </c>
      <c r="H80" s="407">
        <f t="shared" si="7"/>
        <v>47555.487999999998</v>
      </c>
      <c r="I80" s="408">
        <v>237777.44</v>
      </c>
      <c r="J80" s="409">
        <v>0.2</v>
      </c>
      <c r="K80" s="407">
        <f t="shared" si="8"/>
        <v>47555.488000000005</v>
      </c>
      <c r="L80" s="407">
        <f t="shared" si="9"/>
        <v>285332.92800000001</v>
      </c>
      <c r="M80" s="610"/>
      <c r="N80" s="407">
        <f>(H80+H80/100*O78)+((H80+H80/100*O78)/100*20)</f>
        <v>60332.433757332801</v>
      </c>
      <c r="O80" s="596"/>
      <c r="P80" s="596"/>
    </row>
    <row r="81" spans="1:16" x14ac:dyDescent="0.25">
      <c r="A81" s="608"/>
      <c r="B81" s="585" t="s">
        <v>394</v>
      </c>
      <c r="C81" s="585"/>
      <c r="D81" s="585"/>
      <c r="E81" s="585"/>
      <c r="F81" s="405"/>
      <c r="G81" s="406">
        <v>5</v>
      </c>
      <c r="H81" s="407">
        <f t="shared" si="7"/>
        <v>46335.184000000001</v>
      </c>
      <c r="I81" s="408">
        <v>231675.92</v>
      </c>
      <c r="J81" s="409">
        <v>0.2</v>
      </c>
      <c r="K81" s="407">
        <f t="shared" si="8"/>
        <v>46335.184000000001</v>
      </c>
      <c r="L81" s="407">
        <f t="shared" si="9"/>
        <v>278011.10399999999</v>
      </c>
      <c r="M81" s="610"/>
      <c r="N81" s="407">
        <f>(H81+H81/100*O78)+((H81+H81/100*O78)/100*20)</f>
        <v>58784.265221162845</v>
      </c>
      <c r="O81" s="596"/>
      <c r="P81" s="596"/>
    </row>
    <row r="82" spans="1:16" x14ac:dyDescent="0.25">
      <c r="A82" s="608"/>
      <c r="B82" s="585" t="s">
        <v>395</v>
      </c>
      <c r="C82" s="585"/>
      <c r="D82" s="585"/>
      <c r="E82" s="585"/>
      <c r="F82" s="405"/>
      <c r="G82" s="406">
        <v>20</v>
      </c>
      <c r="H82" s="407">
        <f t="shared" si="7"/>
        <v>3401.3199999999997</v>
      </c>
      <c r="I82" s="408">
        <v>68026.399999999994</v>
      </c>
      <c r="J82" s="409">
        <v>0.2</v>
      </c>
      <c r="K82" s="407">
        <f t="shared" si="8"/>
        <v>13605.279999999999</v>
      </c>
      <c r="L82" s="407">
        <f t="shared" si="9"/>
        <v>81631.679999999993</v>
      </c>
      <c r="M82" s="610"/>
      <c r="N82" s="407">
        <f>(H82+H82/100*O78)+((H82+H82/100*O78)/100*20)</f>
        <v>4315.167864274491</v>
      </c>
      <c r="O82" s="596"/>
      <c r="P82" s="596"/>
    </row>
    <row r="83" spans="1:16" x14ac:dyDescent="0.25">
      <c r="A83" s="608"/>
      <c r="B83" s="585" t="s">
        <v>396</v>
      </c>
      <c r="C83" s="585"/>
      <c r="D83" s="585"/>
      <c r="E83" s="585"/>
      <c r="F83" s="405"/>
      <c r="G83" s="406">
        <v>3</v>
      </c>
      <c r="H83" s="407">
        <f t="shared" si="7"/>
        <v>148729</v>
      </c>
      <c r="I83" s="408">
        <v>446187</v>
      </c>
      <c r="J83" s="409">
        <v>0.2</v>
      </c>
      <c r="K83" s="407">
        <f t="shared" si="8"/>
        <v>89237.4</v>
      </c>
      <c r="L83" s="407">
        <f t="shared" si="9"/>
        <v>535424.4</v>
      </c>
      <c r="M83" s="610"/>
      <c r="N83" s="407">
        <f>(H83+H83/100*O78)+((H83+H83/100*O78)/100*20)</f>
        <v>188688.68594712665</v>
      </c>
      <c r="O83" s="596"/>
      <c r="P83" s="596"/>
    </row>
    <row r="84" spans="1:16" x14ac:dyDescent="0.25">
      <c r="A84" s="608"/>
      <c r="B84" s="585" t="s">
        <v>397</v>
      </c>
      <c r="C84" s="585"/>
      <c r="D84" s="585"/>
      <c r="E84" s="585"/>
      <c r="F84" s="405"/>
      <c r="G84" s="406">
        <v>3</v>
      </c>
      <c r="H84" s="407">
        <f t="shared" si="7"/>
        <v>195379.17</v>
      </c>
      <c r="I84" s="408">
        <v>586137.51</v>
      </c>
      <c r="J84" s="409">
        <v>0.2</v>
      </c>
      <c r="K84" s="407">
        <f t="shared" si="8"/>
        <v>117227.50200000001</v>
      </c>
      <c r="L84" s="407">
        <f t="shared" si="9"/>
        <v>703365.01199999999</v>
      </c>
      <c r="M84" s="610"/>
      <c r="N84" s="407">
        <f>(H84+H84/100*O78)+((H84+H84/100*O78)/100*20)</f>
        <v>247872.56586637624</v>
      </c>
      <c r="O84" s="596"/>
      <c r="P84" s="596"/>
    </row>
    <row r="85" spans="1:16" x14ac:dyDescent="0.25">
      <c r="A85" s="608"/>
      <c r="B85" s="585" t="s">
        <v>398</v>
      </c>
      <c r="C85" s="585"/>
      <c r="D85" s="585"/>
      <c r="E85" s="585"/>
      <c r="F85" s="405"/>
      <c r="G85" s="406">
        <v>6</v>
      </c>
      <c r="H85" s="407">
        <f t="shared" si="7"/>
        <v>2755.6983333333333</v>
      </c>
      <c r="I85" s="408">
        <v>16534.189999999999</v>
      </c>
      <c r="J85" s="409">
        <v>0.2</v>
      </c>
      <c r="K85" s="407">
        <f t="shared" si="8"/>
        <v>3306.8379999999997</v>
      </c>
      <c r="L85" s="407">
        <f t="shared" si="9"/>
        <v>19841.027999999998</v>
      </c>
      <c r="M85" s="610"/>
      <c r="N85" s="407">
        <f>(H85+H85/100*O78)+((H85+H85/100*O78)/100*20)</f>
        <v>3496.084135463519</v>
      </c>
      <c r="O85" s="596"/>
      <c r="P85" s="596"/>
    </row>
    <row r="86" spans="1:16" x14ac:dyDescent="0.25">
      <c r="A86" s="608"/>
      <c r="B86" s="585" t="s">
        <v>399</v>
      </c>
      <c r="C86" s="585"/>
      <c r="D86" s="585"/>
      <c r="E86" s="585"/>
      <c r="F86" s="405"/>
      <c r="G86" s="406">
        <v>6</v>
      </c>
      <c r="H86" s="407">
        <f t="shared" si="7"/>
        <v>590.50833333333333</v>
      </c>
      <c r="I86" s="408">
        <v>3543.05</v>
      </c>
      <c r="J86" s="409">
        <v>0.2</v>
      </c>
      <c r="K86" s="407">
        <f t="shared" si="8"/>
        <v>708.61</v>
      </c>
      <c r="L86" s="407">
        <f t="shared" si="9"/>
        <v>4251.66</v>
      </c>
      <c r="M86" s="610"/>
      <c r="N86" s="407">
        <f>(H86+H86/100*O78)+((H86+H86/100*O78)/100*20)</f>
        <v>749.16284959553627</v>
      </c>
      <c r="O86" s="596"/>
      <c r="P86" s="596"/>
    </row>
    <row r="87" spans="1:16" x14ac:dyDescent="0.25">
      <c r="A87" s="608"/>
      <c r="B87" s="585" t="s">
        <v>400</v>
      </c>
      <c r="C87" s="585"/>
      <c r="D87" s="585"/>
      <c r="E87" s="585"/>
      <c r="F87" s="405"/>
      <c r="G87" s="406">
        <v>3</v>
      </c>
      <c r="H87" s="407">
        <f t="shared" si="7"/>
        <v>25588.633333333331</v>
      </c>
      <c r="I87" s="408">
        <v>76765.899999999994</v>
      </c>
      <c r="J87" s="409">
        <v>0.2</v>
      </c>
      <c r="K87" s="407">
        <f t="shared" si="8"/>
        <v>15353.18</v>
      </c>
      <c r="L87" s="407">
        <f t="shared" si="9"/>
        <v>92119.079999999987</v>
      </c>
      <c r="M87" s="610"/>
      <c r="N87" s="407">
        <f>(H87+H87/100*O78)+((H87+H87/100*O78)/100*20)</f>
        <v>32463.645952366449</v>
      </c>
      <c r="O87" s="596"/>
      <c r="P87" s="596"/>
    </row>
    <row r="88" spans="1:16" x14ac:dyDescent="0.25">
      <c r="A88" s="608"/>
      <c r="B88" s="585" t="s">
        <v>401</v>
      </c>
      <c r="C88" s="585"/>
      <c r="D88" s="585"/>
      <c r="E88" s="585"/>
      <c r="F88" s="405"/>
      <c r="G88" s="406">
        <v>3</v>
      </c>
      <c r="H88" s="407">
        <f t="shared" si="7"/>
        <v>31493.703333333335</v>
      </c>
      <c r="I88" s="408">
        <v>94481.11</v>
      </c>
      <c r="J88" s="409">
        <v>0.2</v>
      </c>
      <c r="K88" s="407">
        <f t="shared" si="8"/>
        <v>18896.222000000002</v>
      </c>
      <c r="L88" s="407">
        <f t="shared" si="9"/>
        <v>113377.33199999999</v>
      </c>
      <c r="M88" s="610"/>
      <c r="N88" s="407">
        <f>(H88+H88/100*O78)+((H88+H88/100*O78)/100*20)</f>
        <v>39955.257532662159</v>
      </c>
      <c r="O88" s="596"/>
      <c r="P88" s="596"/>
    </row>
    <row r="89" spans="1:16" x14ac:dyDescent="0.25">
      <c r="A89" s="608"/>
      <c r="B89" s="585" t="s">
        <v>402</v>
      </c>
      <c r="C89" s="585"/>
      <c r="D89" s="585"/>
      <c r="E89" s="585"/>
      <c r="F89" s="405"/>
      <c r="G89" s="406">
        <v>35</v>
      </c>
      <c r="H89" s="407">
        <f t="shared" si="7"/>
        <v>5668.8662857142863</v>
      </c>
      <c r="I89" s="408">
        <v>198410.32</v>
      </c>
      <c r="J89" s="409">
        <v>0.2</v>
      </c>
      <c r="K89" s="407">
        <f t="shared" si="8"/>
        <v>39682.063999999998</v>
      </c>
      <c r="L89" s="407">
        <f t="shared" si="9"/>
        <v>238092.38400000002</v>
      </c>
      <c r="M89" s="610"/>
      <c r="N89" s="407">
        <f>(H89+H89/100*O78)+((H89+H89/100*O78)/100*20)</f>
        <v>7191.9459571529251</v>
      </c>
      <c r="O89" s="596"/>
      <c r="P89" s="596"/>
    </row>
    <row r="90" spans="1:16" x14ac:dyDescent="0.25">
      <c r="A90" s="608"/>
      <c r="B90" s="585" t="s">
        <v>403</v>
      </c>
      <c r="C90" s="585"/>
      <c r="D90" s="585"/>
      <c r="E90" s="585"/>
      <c r="F90" s="405"/>
      <c r="G90" s="406">
        <v>10</v>
      </c>
      <c r="H90" s="407">
        <f t="shared" si="7"/>
        <v>11692.036</v>
      </c>
      <c r="I90" s="408">
        <v>116920.36</v>
      </c>
      <c r="J90" s="409">
        <v>0.2</v>
      </c>
      <c r="K90" s="407">
        <f t="shared" si="8"/>
        <v>23384.072</v>
      </c>
      <c r="L90" s="407">
        <f t="shared" si="9"/>
        <v>140304.432</v>
      </c>
      <c r="M90" s="610"/>
      <c r="N90" s="407">
        <f>(H90+H90/100*O78)+((H90+H90/100*O78)/100*20)</f>
        <v>14833.387630431851</v>
      </c>
      <c r="O90" s="596"/>
      <c r="P90" s="596"/>
    </row>
    <row r="91" spans="1:16" x14ac:dyDescent="0.25">
      <c r="A91" s="608"/>
      <c r="B91" s="585" t="s">
        <v>404</v>
      </c>
      <c r="C91" s="585"/>
      <c r="D91" s="585"/>
      <c r="E91" s="585"/>
      <c r="F91" s="405"/>
      <c r="G91" s="406">
        <v>5</v>
      </c>
      <c r="H91" s="407">
        <f t="shared" si="7"/>
        <v>21651.920000000002</v>
      </c>
      <c r="I91" s="408">
        <v>108259.6</v>
      </c>
      <c r="J91" s="409">
        <v>0.2</v>
      </c>
      <c r="K91" s="407">
        <f t="shared" si="8"/>
        <v>21651.919999999998</v>
      </c>
      <c r="L91" s="407">
        <f t="shared" si="9"/>
        <v>129911.52</v>
      </c>
      <c r="M91" s="610"/>
      <c r="N91" s="407">
        <f>(H91+H91/100*O78)+((H91+H91/100*O78)/100*20)</f>
        <v>27469.238232169322</v>
      </c>
      <c r="O91" s="596"/>
      <c r="P91" s="596"/>
    </row>
    <row r="92" spans="1:16" x14ac:dyDescent="0.25">
      <c r="A92" s="608"/>
      <c r="B92" s="585" t="s">
        <v>405</v>
      </c>
      <c r="C92" s="585"/>
      <c r="D92" s="585"/>
      <c r="E92" s="585"/>
      <c r="F92" s="405"/>
      <c r="G92" s="406">
        <v>5</v>
      </c>
      <c r="H92" s="407">
        <f t="shared" si="7"/>
        <v>25588.632000000001</v>
      </c>
      <c r="I92" s="408">
        <v>127943.16</v>
      </c>
      <c r="J92" s="409">
        <v>0.2</v>
      </c>
      <c r="K92" s="407">
        <f t="shared" si="8"/>
        <v>25588.632000000001</v>
      </c>
      <c r="L92" s="407">
        <f t="shared" si="9"/>
        <v>153531.79200000002</v>
      </c>
      <c r="M92" s="610"/>
      <c r="N92" s="407">
        <f>(H92+H92/100*O78)+((H92+H92/100*O78)/100*20)</f>
        <v>32463.644260800491</v>
      </c>
      <c r="O92" s="596"/>
      <c r="P92" s="596"/>
    </row>
    <row r="93" spans="1:16" x14ac:dyDescent="0.25">
      <c r="A93" s="608"/>
      <c r="B93" s="585" t="s">
        <v>406</v>
      </c>
      <c r="C93" s="585"/>
      <c r="D93" s="585"/>
      <c r="E93" s="585"/>
      <c r="F93" s="405"/>
      <c r="G93" s="406">
        <v>2</v>
      </c>
      <c r="H93" s="407">
        <f t="shared" si="7"/>
        <v>54326.635000000002</v>
      </c>
      <c r="I93" s="408">
        <v>108653.27</v>
      </c>
      <c r="J93" s="409">
        <v>0.2</v>
      </c>
      <c r="K93" s="407">
        <f t="shared" si="8"/>
        <v>21730.653999999999</v>
      </c>
      <c r="L93" s="407">
        <f t="shared" si="9"/>
        <v>130383.924</v>
      </c>
      <c r="M93" s="610"/>
      <c r="N93" s="407">
        <f>(H93+H93/100*O78)+((H93+H93/100*O78)/100*20)</f>
        <v>68922.815120650179</v>
      </c>
      <c r="O93" s="596"/>
      <c r="P93" s="596"/>
    </row>
    <row r="94" spans="1:16" x14ac:dyDescent="0.25">
      <c r="A94" s="608"/>
      <c r="B94" s="585" t="s">
        <v>407</v>
      </c>
      <c r="C94" s="585"/>
      <c r="D94" s="585"/>
      <c r="E94" s="585"/>
      <c r="F94" s="405"/>
      <c r="G94" s="406">
        <v>2</v>
      </c>
      <c r="H94" s="407">
        <f t="shared" si="7"/>
        <v>79718.425000000003</v>
      </c>
      <c r="I94" s="408">
        <v>159436.85</v>
      </c>
      <c r="J94" s="409">
        <v>0.2</v>
      </c>
      <c r="K94" s="407">
        <f t="shared" si="8"/>
        <v>31887.370000000003</v>
      </c>
      <c r="L94" s="407">
        <f t="shared" si="9"/>
        <v>191324.22</v>
      </c>
      <c r="M94" s="610"/>
      <c r="N94" s="407">
        <f>(H94+H94/100*O78)+((H94+H94/100*O78)/100*20)</f>
        <v>101136.73096050246</v>
      </c>
      <c r="O94" s="596"/>
      <c r="P94" s="596"/>
    </row>
    <row r="95" spans="1:16" x14ac:dyDescent="0.25">
      <c r="A95" s="608"/>
      <c r="B95" s="585" t="s">
        <v>408</v>
      </c>
      <c r="C95" s="585"/>
      <c r="D95" s="585"/>
      <c r="E95" s="585"/>
      <c r="F95" s="405"/>
      <c r="G95" s="406">
        <v>2</v>
      </c>
      <c r="H95" s="407">
        <f t="shared" si="7"/>
        <v>128730.505</v>
      </c>
      <c r="I95" s="408">
        <v>257461.01</v>
      </c>
      <c r="J95" s="409">
        <v>0.2</v>
      </c>
      <c r="K95" s="407">
        <f t="shared" si="8"/>
        <v>51492.201999999997</v>
      </c>
      <c r="L95" s="407">
        <f t="shared" si="9"/>
        <v>308953.212</v>
      </c>
      <c r="M95" s="610"/>
      <c r="N95" s="407">
        <f>(H95+H95/100*O78)+((H95+H95/100*O78)/100*20)</f>
        <v>163317.10580828233</v>
      </c>
      <c r="O95" s="596"/>
      <c r="P95" s="596"/>
    </row>
    <row r="96" spans="1:16" x14ac:dyDescent="0.25">
      <c r="A96" s="608"/>
      <c r="B96" s="585" t="s">
        <v>409</v>
      </c>
      <c r="C96" s="585"/>
      <c r="D96" s="585"/>
      <c r="E96" s="585"/>
      <c r="F96" s="405"/>
      <c r="G96" s="406">
        <v>3</v>
      </c>
      <c r="H96" s="407">
        <f t="shared" si="7"/>
        <v>11810.136666666667</v>
      </c>
      <c r="I96" s="408">
        <v>35430.410000000003</v>
      </c>
      <c r="J96" s="409">
        <v>0.2</v>
      </c>
      <c r="K96" s="407">
        <f t="shared" si="8"/>
        <v>7086.0820000000012</v>
      </c>
      <c r="L96" s="407">
        <f t="shared" si="9"/>
        <v>42516.492000000006</v>
      </c>
      <c r="M96" s="610"/>
      <c r="N96" s="407">
        <f>(H96+H96/100*O78)+((H96+H96/100*O78)/100*20)</f>
        <v>14983.218931676485</v>
      </c>
      <c r="O96" s="596"/>
      <c r="P96" s="596"/>
    </row>
    <row r="97" spans="1:16" x14ac:dyDescent="0.25">
      <c r="A97" s="608"/>
      <c r="B97" s="585" t="s">
        <v>410</v>
      </c>
      <c r="C97" s="585"/>
      <c r="D97" s="585"/>
      <c r="E97" s="585"/>
      <c r="F97" s="405"/>
      <c r="G97" s="406">
        <v>2</v>
      </c>
      <c r="H97" s="407">
        <f t="shared" si="7"/>
        <v>3280.59</v>
      </c>
      <c r="I97" s="408">
        <v>6561.18</v>
      </c>
      <c r="J97" s="409">
        <v>0.2</v>
      </c>
      <c r="K97" s="407">
        <f t="shared" si="8"/>
        <v>1312.2360000000001</v>
      </c>
      <c r="L97" s="407">
        <f t="shared" si="9"/>
        <v>7873.4160000000002</v>
      </c>
      <c r="M97" s="610"/>
      <c r="N97" s="407">
        <f>(H97+H97/100*O78)+((H97+H97/100*O78)/100*20)</f>
        <v>4162.0007949443907</v>
      </c>
      <c r="O97" s="596"/>
      <c r="P97" s="596"/>
    </row>
    <row r="98" spans="1:16" x14ac:dyDescent="0.25">
      <c r="A98" s="608"/>
      <c r="B98" s="585" t="s">
        <v>411</v>
      </c>
      <c r="C98" s="585"/>
      <c r="D98" s="585"/>
      <c r="E98" s="585"/>
      <c r="F98" s="405"/>
      <c r="G98" s="406">
        <v>6</v>
      </c>
      <c r="H98" s="407">
        <f t="shared" si="7"/>
        <v>393.67</v>
      </c>
      <c r="I98" s="408">
        <v>2362.02</v>
      </c>
      <c r="J98" s="409">
        <v>0.2</v>
      </c>
      <c r="K98" s="407">
        <f t="shared" si="8"/>
        <v>472.404</v>
      </c>
      <c r="L98" s="407">
        <f t="shared" si="9"/>
        <v>2834.424</v>
      </c>
      <c r="M98" s="610"/>
      <c r="N98" s="407">
        <f>(H98+H98/100*O78)+((H98+H98/100*O78)/100*20)</f>
        <v>499.43908045374712</v>
      </c>
      <c r="O98" s="596"/>
      <c r="P98" s="596"/>
    </row>
    <row r="99" spans="1:16" x14ac:dyDescent="0.25">
      <c r="A99" s="659" t="s">
        <v>445</v>
      </c>
      <c r="B99" s="584" t="s">
        <v>443</v>
      </c>
      <c r="C99" s="584"/>
      <c r="D99" s="584"/>
      <c r="E99" s="584"/>
      <c r="F99" s="427"/>
      <c r="G99" s="420">
        <v>500</v>
      </c>
      <c r="H99" s="421">
        <f t="shared" si="7"/>
        <v>46.2</v>
      </c>
      <c r="I99" s="420">
        <v>23100</v>
      </c>
      <c r="J99" s="422">
        <v>0.2</v>
      </c>
      <c r="K99" s="421">
        <f t="shared" si="8"/>
        <v>4620</v>
      </c>
      <c r="L99" s="421">
        <f t="shared" si="9"/>
        <v>27720</v>
      </c>
      <c r="M99" s="663"/>
      <c r="N99" s="421">
        <f>H99+H99/100*20</f>
        <v>55.440000000000005</v>
      </c>
      <c r="O99" s="660">
        <v>0</v>
      </c>
      <c r="P99" s="660">
        <v>0</v>
      </c>
    </row>
    <row r="100" spans="1:16" x14ac:dyDescent="0.25">
      <c r="A100" s="659"/>
      <c r="B100" s="584" t="s">
        <v>442</v>
      </c>
      <c r="C100" s="584"/>
      <c r="D100" s="584"/>
      <c r="E100" s="584"/>
      <c r="F100" s="427"/>
      <c r="G100" s="420">
        <v>500</v>
      </c>
      <c r="H100" s="421">
        <f t="shared" si="7"/>
        <v>60.1</v>
      </c>
      <c r="I100" s="420">
        <v>30050</v>
      </c>
      <c r="J100" s="422">
        <v>0.2</v>
      </c>
      <c r="K100" s="421">
        <f t="shared" si="8"/>
        <v>6010</v>
      </c>
      <c r="L100" s="421">
        <f t="shared" si="9"/>
        <v>36060</v>
      </c>
      <c r="M100" s="663"/>
      <c r="N100" s="421">
        <f t="shared" ref="N100:N108" si="10">H100+H100/100*20</f>
        <v>72.12</v>
      </c>
      <c r="O100" s="661"/>
      <c r="P100" s="661"/>
    </row>
    <row r="101" spans="1:16" x14ac:dyDescent="0.25">
      <c r="A101" s="659"/>
      <c r="B101" s="584" t="s">
        <v>446</v>
      </c>
      <c r="C101" s="584"/>
      <c r="D101" s="584"/>
      <c r="E101" s="584"/>
      <c r="F101" s="427"/>
      <c r="G101" s="420">
        <v>200</v>
      </c>
      <c r="H101" s="421">
        <f t="shared" si="7"/>
        <v>244.04</v>
      </c>
      <c r="I101" s="420">
        <v>48808</v>
      </c>
      <c r="J101" s="422">
        <v>0.2</v>
      </c>
      <c r="K101" s="421">
        <f t="shared" si="8"/>
        <v>9761.6</v>
      </c>
      <c r="L101" s="421">
        <f t="shared" si="9"/>
        <v>58569.599999999999</v>
      </c>
      <c r="M101" s="663"/>
      <c r="N101" s="421">
        <f t="shared" si="10"/>
        <v>292.84800000000001</v>
      </c>
      <c r="O101" s="661"/>
      <c r="P101" s="661"/>
    </row>
    <row r="102" spans="1:16" x14ac:dyDescent="0.25">
      <c r="A102" s="659"/>
      <c r="B102" s="584" t="s">
        <v>447</v>
      </c>
      <c r="C102" s="584"/>
      <c r="D102" s="584"/>
      <c r="E102" s="584"/>
      <c r="F102" s="427"/>
      <c r="G102" s="420">
        <v>200</v>
      </c>
      <c r="H102" s="421">
        <f t="shared" si="7"/>
        <v>240.5</v>
      </c>
      <c r="I102" s="420">
        <v>48100</v>
      </c>
      <c r="J102" s="422">
        <v>0.2</v>
      </c>
      <c r="K102" s="421">
        <f t="shared" si="8"/>
        <v>9620</v>
      </c>
      <c r="L102" s="421">
        <f t="shared" si="9"/>
        <v>57720</v>
      </c>
      <c r="M102" s="663"/>
      <c r="N102" s="421">
        <f t="shared" si="10"/>
        <v>288.60000000000002</v>
      </c>
      <c r="O102" s="662"/>
      <c r="P102" s="662"/>
    </row>
    <row r="103" spans="1:16" ht="15" customHeight="1" x14ac:dyDescent="0.25">
      <c r="A103" s="657" t="s">
        <v>422</v>
      </c>
      <c r="B103" s="586" t="s">
        <v>444</v>
      </c>
      <c r="C103" s="586"/>
      <c r="D103" s="586"/>
      <c r="E103" s="587"/>
      <c r="F103" s="428"/>
      <c r="G103" s="429">
        <v>500</v>
      </c>
      <c r="H103" s="430">
        <f t="shared" si="7"/>
        <v>2.5</v>
      </c>
      <c r="I103" s="431">
        <v>1250</v>
      </c>
      <c r="J103" s="432">
        <v>0.2</v>
      </c>
      <c r="K103" s="430">
        <f t="shared" si="8"/>
        <v>250</v>
      </c>
      <c r="L103" s="430">
        <f t="shared" si="9"/>
        <v>1500</v>
      </c>
      <c r="M103" s="589"/>
      <c r="N103" s="430">
        <f t="shared" si="10"/>
        <v>3</v>
      </c>
      <c r="O103" s="656">
        <v>0</v>
      </c>
      <c r="P103" s="656">
        <v>0</v>
      </c>
    </row>
    <row r="104" spans="1:16" x14ac:dyDescent="0.25">
      <c r="A104" s="657"/>
      <c r="B104" s="586" t="s">
        <v>448</v>
      </c>
      <c r="C104" s="586"/>
      <c r="D104" s="586"/>
      <c r="E104" s="587"/>
      <c r="F104" s="428"/>
      <c r="G104" s="429">
        <v>400</v>
      </c>
      <c r="H104" s="430">
        <f t="shared" si="7"/>
        <v>16.858325000000001</v>
      </c>
      <c r="I104" s="431">
        <v>6743.33</v>
      </c>
      <c r="J104" s="432">
        <v>0.2</v>
      </c>
      <c r="K104" s="430">
        <f t="shared" si="8"/>
        <v>1348.6660000000002</v>
      </c>
      <c r="L104" s="430">
        <f t="shared" si="9"/>
        <v>8091.9960000000001</v>
      </c>
      <c r="M104" s="589"/>
      <c r="N104" s="430">
        <f t="shared" si="10"/>
        <v>20.229990000000001</v>
      </c>
      <c r="O104" s="656"/>
      <c r="P104" s="656"/>
    </row>
    <row r="105" spans="1:16" x14ac:dyDescent="0.25">
      <c r="A105" s="657"/>
      <c r="B105" s="586" t="s">
        <v>449</v>
      </c>
      <c r="C105" s="586"/>
      <c r="D105" s="586"/>
      <c r="E105" s="587"/>
      <c r="F105" s="428"/>
      <c r="G105" s="429">
        <v>100</v>
      </c>
      <c r="H105" s="430">
        <f t="shared" si="7"/>
        <v>18.574999999999999</v>
      </c>
      <c r="I105" s="431">
        <v>1857.5</v>
      </c>
      <c r="J105" s="432">
        <v>0.2</v>
      </c>
      <c r="K105" s="430">
        <f t="shared" si="8"/>
        <v>371.5</v>
      </c>
      <c r="L105" s="430">
        <f t="shared" si="9"/>
        <v>2229</v>
      </c>
      <c r="M105" s="589"/>
      <c r="N105" s="430">
        <f t="shared" si="10"/>
        <v>22.29</v>
      </c>
      <c r="O105" s="656"/>
      <c r="P105" s="656"/>
    </row>
    <row r="106" spans="1:16" x14ac:dyDescent="0.25">
      <c r="A106" s="657"/>
      <c r="B106" s="586" t="s">
        <v>450</v>
      </c>
      <c r="C106" s="586"/>
      <c r="D106" s="586"/>
      <c r="E106" s="587"/>
      <c r="F106" s="428"/>
      <c r="G106" s="429">
        <v>100</v>
      </c>
      <c r="H106" s="430">
        <f t="shared" si="7"/>
        <v>30.633299999999998</v>
      </c>
      <c r="I106" s="431">
        <v>3063.33</v>
      </c>
      <c r="J106" s="432">
        <v>0.2</v>
      </c>
      <c r="K106" s="430">
        <f t="shared" si="8"/>
        <v>612.66599999999994</v>
      </c>
      <c r="L106" s="430">
        <f t="shared" si="9"/>
        <v>3675.9960000000001</v>
      </c>
      <c r="M106" s="589"/>
      <c r="N106" s="430">
        <f t="shared" si="10"/>
        <v>36.75996</v>
      </c>
      <c r="O106" s="656"/>
      <c r="P106" s="656"/>
    </row>
    <row r="107" spans="1:16" x14ac:dyDescent="0.25">
      <c r="A107" s="657"/>
      <c r="B107" s="586" t="s">
        <v>451</v>
      </c>
      <c r="C107" s="586"/>
      <c r="D107" s="586"/>
      <c r="E107" s="587"/>
      <c r="F107" s="428"/>
      <c r="G107" s="429">
        <v>100</v>
      </c>
      <c r="H107" s="430">
        <f t="shared" si="7"/>
        <v>39.166699999999999</v>
      </c>
      <c r="I107" s="431">
        <v>3916.67</v>
      </c>
      <c r="J107" s="432">
        <v>0.2</v>
      </c>
      <c r="K107" s="430">
        <f t="shared" si="8"/>
        <v>783.33399999999995</v>
      </c>
      <c r="L107" s="430">
        <f t="shared" si="9"/>
        <v>4700.0039999999999</v>
      </c>
      <c r="M107" s="589"/>
      <c r="N107" s="430">
        <f t="shared" si="10"/>
        <v>47.000039999999998</v>
      </c>
      <c r="O107" s="656"/>
      <c r="P107" s="656"/>
    </row>
    <row r="108" spans="1:16" x14ac:dyDescent="0.25">
      <c r="A108" s="657"/>
      <c r="B108" s="658" t="s">
        <v>452</v>
      </c>
      <c r="C108" s="658"/>
      <c r="D108" s="658"/>
      <c r="E108" s="658"/>
      <c r="F108" s="428"/>
      <c r="G108" s="429">
        <v>20</v>
      </c>
      <c r="H108" s="430">
        <f t="shared" si="7"/>
        <v>39.458500000000001</v>
      </c>
      <c r="I108" s="431">
        <v>789.17</v>
      </c>
      <c r="J108" s="432">
        <v>0.2</v>
      </c>
      <c r="K108" s="430">
        <f t="shared" si="8"/>
        <v>157.83399999999997</v>
      </c>
      <c r="L108" s="430">
        <f t="shared" si="9"/>
        <v>947.00399999999991</v>
      </c>
      <c r="M108" s="589"/>
      <c r="N108" s="430">
        <f t="shared" si="10"/>
        <v>47.350200000000001</v>
      </c>
      <c r="O108" s="656"/>
      <c r="P108" s="656"/>
    </row>
    <row r="115" spans="2:14" ht="45" x14ac:dyDescent="0.25">
      <c r="B115" s="410" t="s">
        <v>412</v>
      </c>
      <c r="C115" s="410" t="s">
        <v>413</v>
      </c>
      <c r="D115" s="410" t="s">
        <v>414</v>
      </c>
      <c r="E115" s="410" t="s">
        <v>415</v>
      </c>
      <c r="F115" s="410" t="s">
        <v>416</v>
      </c>
      <c r="G115" s="410" t="s">
        <v>417</v>
      </c>
      <c r="H115" s="410" t="s">
        <v>418</v>
      </c>
      <c r="I115" s="410" t="s">
        <v>419</v>
      </c>
      <c r="J115" s="411" t="s">
        <v>420</v>
      </c>
      <c r="K115" s="411" t="s">
        <v>421</v>
      </c>
    </row>
    <row r="116" spans="2:14" x14ac:dyDescent="0.25">
      <c r="B116" s="412" t="s">
        <v>422</v>
      </c>
      <c r="C116" s="575" t="s">
        <v>423</v>
      </c>
      <c r="D116" s="575" t="s">
        <v>424</v>
      </c>
      <c r="E116" s="413" t="s">
        <v>425</v>
      </c>
      <c r="F116" s="414"/>
      <c r="G116" s="415"/>
      <c r="H116" s="413">
        <v>21315591</v>
      </c>
      <c r="I116" s="416">
        <v>43565</v>
      </c>
      <c r="J116" s="417">
        <v>38000</v>
      </c>
      <c r="K116" s="418">
        <f>J116/120*100</f>
        <v>31666.666666666668</v>
      </c>
      <c r="L116" s="387"/>
      <c r="M116" s="588"/>
      <c r="N116" s="387"/>
    </row>
    <row r="117" spans="2:14" x14ac:dyDescent="0.25">
      <c r="B117" s="412" t="s">
        <v>426</v>
      </c>
      <c r="C117" s="576"/>
      <c r="D117" s="576"/>
      <c r="E117" s="413" t="s">
        <v>427</v>
      </c>
      <c r="F117" s="414"/>
      <c r="G117" s="415"/>
      <c r="H117" s="413">
        <v>21315591</v>
      </c>
      <c r="I117" s="416">
        <v>43565</v>
      </c>
      <c r="J117" s="417">
        <v>3000</v>
      </c>
      <c r="K117" s="418">
        <f>J117/120*100</f>
        <v>2500</v>
      </c>
      <c r="M117" s="588"/>
      <c r="N117" s="387"/>
    </row>
    <row r="118" spans="2:14" x14ac:dyDescent="0.25">
      <c r="B118" s="412" t="s">
        <v>428</v>
      </c>
      <c r="C118" s="577"/>
      <c r="D118" s="577"/>
      <c r="E118" s="413" t="s">
        <v>429</v>
      </c>
      <c r="F118" s="414"/>
      <c r="G118" s="415"/>
      <c r="H118" s="413">
        <v>21315591</v>
      </c>
      <c r="I118" s="416">
        <v>43565</v>
      </c>
      <c r="J118" s="417">
        <v>6000</v>
      </c>
      <c r="K118" s="418">
        <f>J118/120*100</f>
        <v>5000</v>
      </c>
      <c r="M118" s="588"/>
      <c r="N118" s="387"/>
    </row>
    <row r="119" spans="2:14" x14ac:dyDescent="0.25">
      <c r="B119" s="412" t="s">
        <v>430</v>
      </c>
      <c r="C119" s="413"/>
      <c r="D119" s="413" t="s">
        <v>424</v>
      </c>
      <c r="E119" s="413" t="s">
        <v>431</v>
      </c>
      <c r="F119" s="414"/>
      <c r="G119" s="415">
        <v>600</v>
      </c>
      <c r="H119" s="413">
        <v>21315359</v>
      </c>
      <c r="I119" s="416">
        <v>43563</v>
      </c>
      <c r="J119" s="417"/>
      <c r="K119" s="418">
        <v>20000</v>
      </c>
    </row>
    <row r="120" spans="2:14" x14ac:dyDescent="0.25">
      <c r="B120" s="572" t="s">
        <v>355</v>
      </c>
      <c r="C120" s="575" t="s">
        <v>423</v>
      </c>
      <c r="D120" s="413" t="s">
        <v>432</v>
      </c>
      <c r="E120" s="575" t="s">
        <v>433</v>
      </c>
      <c r="F120" s="578">
        <v>3</v>
      </c>
      <c r="G120" s="581">
        <v>4673</v>
      </c>
      <c r="H120" s="413"/>
      <c r="I120" s="416"/>
      <c r="J120" s="417"/>
      <c r="K120" s="418"/>
    </row>
    <row r="121" spans="2:14" x14ac:dyDescent="0.25">
      <c r="B121" s="573"/>
      <c r="C121" s="576"/>
      <c r="D121" s="413" t="s">
        <v>434</v>
      </c>
      <c r="E121" s="576"/>
      <c r="F121" s="579"/>
      <c r="G121" s="582"/>
      <c r="H121" s="413"/>
      <c r="I121" s="416"/>
      <c r="J121" s="417"/>
      <c r="K121" s="418"/>
    </row>
    <row r="122" spans="2:14" x14ac:dyDescent="0.25">
      <c r="B122" s="573"/>
      <c r="C122" s="576"/>
      <c r="D122" s="413" t="s">
        <v>435</v>
      </c>
      <c r="E122" s="576"/>
      <c r="F122" s="579"/>
      <c r="G122" s="582"/>
      <c r="H122" s="413"/>
      <c r="I122" s="416"/>
      <c r="J122" s="417"/>
      <c r="K122" s="418"/>
    </row>
    <row r="123" spans="2:14" x14ac:dyDescent="0.25">
      <c r="B123" s="573"/>
      <c r="C123" s="576"/>
      <c r="D123" s="413" t="s">
        <v>436</v>
      </c>
      <c r="E123" s="576"/>
      <c r="F123" s="579"/>
      <c r="G123" s="582"/>
      <c r="H123" s="413">
        <v>21315774</v>
      </c>
      <c r="I123" s="416">
        <v>43567</v>
      </c>
      <c r="J123" s="417">
        <v>25100</v>
      </c>
      <c r="K123" s="418"/>
    </row>
    <row r="124" spans="2:14" x14ac:dyDescent="0.25">
      <c r="B124" s="574"/>
      <c r="C124" s="577"/>
      <c r="D124" s="413" t="s">
        <v>424</v>
      </c>
      <c r="E124" s="577"/>
      <c r="F124" s="580"/>
      <c r="G124" s="583"/>
      <c r="H124" s="413">
        <v>21315331</v>
      </c>
      <c r="I124" s="416">
        <v>43560</v>
      </c>
      <c r="J124" s="417">
        <v>224577.39</v>
      </c>
      <c r="K124" s="418"/>
    </row>
    <row r="125" spans="2:14" x14ac:dyDescent="0.25">
      <c r="B125" s="572" t="s">
        <v>437</v>
      </c>
      <c r="C125" s="575" t="s">
        <v>423</v>
      </c>
      <c r="D125" s="413" t="s">
        <v>434</v>
      </c>
      <c r="E125" s="575" t="s">
        <v>438</v>
      </c>
      <c r="F125" s="578">
        <v>4</v>
      </c>
      <c r="G125" s="581">
        <v>1227</v>
      </c>
      <c r="H125" s="413"/>
      <c r="I125" s="416"/>
      <c r="J125" s="417"/>
      <c r="K125" s="418"/>
    </row>
    <row r="126" spans="2:14" x14ac:dyDescent="0.25">
      <c r="B126" s="573"/>
      <c r="C126" s="576"/>
      <c r="D126" s="413" t="s">
        <v>435</v>
      </c>
      <c r="E126" s="576"/>
      <c r="F126" s="579"/>
      <c r="G126" s="582"/>
      <c r="H126" s="413"/>
      <c r="I126" s="416"/>
      <c r="J126" s="417"/>
      <c r="K126" s="418"/>
    </row>
    <row r="127" spans="2:14" x14ac:dyDescent="0.25">
      <c r="B127" s="573"/>
      <c r="C127" s="576"/>
      <c r="D127" s="413" t="s">
        <v>439</v>
      </c>
      <c r="E127" s="576"/>
      <c r="F127" s="579"/>
      <c r="G127" s="582"/>
      <c r="H127" s="413"/>
      <c r="I127" s="416"/>
      <c r="J127" s="417">
        <v>35040</v>
      </c>
      <c r="K127" s="418">
        <f>J127/120*100</f>
        <v>29200</v>
      </c>
    </row>
    <row r="128" spans="2:14" x14ac:dyDescent="0.25">
      <c r="B128" s="573"/>
      <c r="C128" s="576"/>
      <c r="D128" s="413" t="s">
        <v>436</v>
      </c>
      <c r="E128" s="576"/>
      <c r="F128" s="579"/>
      <c r="G128" s="582"/>
      <c r="H128" s="413">
        <v>21316428</v>
      </c>
      <c r="I128" s="416">
        <v>43574</v>
      </c>
      <c r="J128" s="417">
        <v>48967</v>
      </c>
      <c r="K128" s="418"/>
    </row>
    <row r="129" spans="2:11" x14ac:dyDescent="0.25">
      <c r="B129" s="574"/>
      <c r="C129" s="577"/>
      <c r="D129" s="413" t="s">
        <v>424</v>
      </c>
      <c r="E129" s="577"/>
      <c r="F129" s="580"/>
      <c r="G129" s="583"/>
      <c r="H129" s="413">
        <v>21315910</v>
      </c>
      <c r="I129" s="416">
        <v>43570</v>
      </c>
      <c r="J129" s="417">
        <v>118227.01</v>
      </c>
      <c r="K129" s="418"/>
    </row>
    <row r="130" spans="2:11" x14ac:dyDescent="0.25">
      <c r="B130" s="572" t="s">
        <v>361</v>
      </c>
      <c r="C130" s="575" t="s">
        <v>423</v>
      </c>
      <c r="D130" s="413" t="s">
        <v>440</v>
      </c>
      <c r="E130" s="575" t="s">
        <v>438</v>
      </c>
      <c r="F130" s="578">
        <v>2</v>
      </c>
      <c r="G130" s="581">
        <v>254</v>
      </c>
      <c r="H130" s="413"/>
      <c r="I130" s="416"/>
      <c r="J130" s="417"/>
      <c r="K130" s="418">
        <f>J130/120*100</f>
        <v>0</v>
      </c>
    </row>
    <row r="131" spans="2:11" x14ac:dyDescent="0.25">
      <c r="B131" s="573"/>
      <c r="C131" s="576"/>
      <c r="D131" s="413" t="s">
        <v>435</v>
      </c>
      <c r="E131" s="576"/>
      <c r="F131" s="579"/>
      <c r="G131" s="582"/>
      <c r="H131" s="413"/>
      <c r="I131" s="416"/>
      <c r="J131" s="417"/>
      <c r="K131" s="418">
        <f>J131/120*100</f>
        <v>0</v>
      </c>
    </row>
    <row r="132" spans="2:11" x14ac:dyDescent="0.25">
      <c r="B132" s="573"/>
      <c r="C132" s="576"/>
      <c r="D132" s="413" t="s">
        <v>436</v>
      </c>
      <c r="E132" s="576"/>
      <c r="F132" s="579"/>
      <c r="G132" s="582"/>
      <c r="H132" s="413">
        <v>21315619</v>
      </c>
      <c r="I132" s="416">
        <v>43565</v>
      </c>
      <c r="J132" s="417">
        <v>71514.25</v>
      </c>
      <c r="K132" s="418"/>
    </row>
    <row r="133" spans="2:11" x14ac:dyDescent="0.25">
      <c r="B133" s="574"/>
      <c r="C133" s="577"/>
      <c r="D133" s="413" t="s">
        <v>441</v>
      </c>
      <c r="E133" s="577"/>
      <c r="F133" s="580"/>
      <c r="G133" s="583"/>
      <c r="H133" s="413">
        <v>21314772</v>
      </c>
      <c r="I133" s="416">
        <v>43549</v>
      </c>
      <c r="J133" s="417">
        <v>70289.119999999995</v>
      </c>
      <c r="K133" s="418"/>
    </row>
  </sheetData>
  <mergeCells count="119">
    <mergeCell ref="O103:O108"/>
    <mergeCell ref="P103:P108"/>
    <mergeCell ref="A103:A108"/>
    <mergeCell ref="B108:E108"/>
    <mergeCell ref="A99:A102"/>
    <mergeCell ref="O99:O102"/>
    <mergeCell ref="P99:P102"/>
    <mergeCell ref="B101:E101"/>
    <mergeCell ref="M101:M102"/>
    <mergeCell ref="B102:E102"/>
    <mergeCell ref="M99:M100"/>
    <mergeCell ref="B103:E103"/>
    <mergeCell ref="B104:E104"/>
    <mergeCell ref="B105:E105"/>
    <mergeCell ref="B106:E106"/>
    <mergeCell ref="B99:E99"/>
    <mergeCell ref="A46:A49"/>
    <mergeCell ref="M46:M49"/>
    <mergeCell ref="O46:O49"/>
    <mergeCell ref="P46:P49"/>
    <mergeCell ref="B13:E13"/>
    <mergeCell ref="A14:A45"/>
    <mergeCell ref="M14:M45"/>
    <mergeCell ref="O14:O45"/>
    <mergeCell ref="P14:P45"/>
    <mergeCell ref="B46:E46"/>
    <mergeCell ref="B47:E47"/>
    <mergeCell ref="B48:E48"/>
    <mergeCell ref="B49:E49"/>
    <mergeCell ref="A50:A54"/>
    <mergeCell ref="M50:M54"/>
    <mergeCell ref="O50:O54"/>
    <mergeCell ref="P50:P54"/>
    <mergeCell ref="A55:A70"/>
    <mergeCell ref="B55:E55"/>
    <mergeCell ref="M55:M70"/>
    <mergeCell ref="O55:O70"/>
    <mergeCell ref="P55:P70"/>
    <mergeCell ref="B56:E56"/>
    <mergeCell ref="B57:E57"/>
    <mergeCell ref="B58:E58"/>
    <mergeCell ref="B59:E59"/>
    <mergeCell ref="B60:E60"/>
    <mergeCell ref="B61:E61"/>
    <mergeCell ref="B50:E50"/>
    <mergeCell ref="B51:E51"/>
    <mergeCell ref="B52:E52"/>
    <mergeCell ref="B53:E53"/>
    <mergeCell ref="B54:E54"/>
    <mergeCell ref="B62:E62"/>
    <mergeCell ref="P71:P72"/>
    <mergeCell ref="B63:E63"/>
    <mergeCell ref="B64:E64"/>
    <mergeCell ref="B65:E65"/>
    <mergeCell ref="B66:E66"/>
    <mergeCell ref="B67:E67"/>
    <mergeCell ref="B68:E68"/>
    <mergeCell ref="B69:E69"/>
    <mergeCell ref="B70:E70"/>
    <mergeCell ref="A71:A72"/>
    <mergeCell ref="M71:M72"/>
    <mergeCell ref="O71:O72"/>
    <mergeCell ref="A73:A77"/>
    <mergeCell ref="B73:E73"/>
    <mergeCell ref="F73:F77"/>
    <mergeCell ref="M73:M77"/>
    <mergeCell ref="O73:O77"/>
    <mergeCell ref="A78:A98"/>
    <mergeCell ref="B78:E78"/>
    <mergeCell ref="M78:M98"/>
    <mergeCell ref="O78:O98"/>
    <mergeCell ref="B94:E94"/>
    <mergeCell ref="B95:E95"/>
    <mergeCell ref="R73:R77"/>
    <mergeCell ref="B74:E74"/>
    <mergeCell ref="B75:E75"/>
    <mergeCell ref="B76:E76"/>
    <mergeCell ref="B77:E77"/>
    <mergeCell ref="P73:P77"/>
    <mergeCell ref="B89:E89"/>
    <mergeCell ref="B90:E90"/>
    <mergeCell ref="B91:E91"/>
    <mergeCell ref="P78:P98"/>
    <mergeCell ref="B84:E84"/>
    <mergeCell ref="B79:E79"/>
    <mergeCell ref="B80:E80"/>
    <mergeCell ref="B81:E81"/>
    <mergeCell ref="B82:E82"/>
    <mergeCell ref="B83:E83"/>
    <mergeCell ref="B96:E96"/>
    <mergeCell ref="B85:E85"/>
    <mergeCell ref="B86:E86"/>
    <mergeCell ref="B87:E87"/>
    <mergeCell ref="B88:E88"/>
    <mergeCell ref="B92:E92"/>
    <mergeCell ref="B93:E93"/>
    <mergeCell ref="B97:E97"/>
    <mergeCell ref="F120:F124"/>
    <mergeCell ref="G120:G124"/>
    <mergeCell ref="B120:B124"/>
    <mergeCell ref="C120:C124"/>
    <mergeCell ref="E120:E124"/>
    <mergeCell ref="B100:E100"/>
    <mergeCell ref="B98:E98"/>
    <mergeCell ref="B107:E107"/>
    <mergeCell ref="M116:M118"/>
    <mergeCell ref="C116:C118"/>
    <mergeCell ref="D116:D118"/>
    <mergeCell ref="M103:M108"/>
    <mergeCell ref="B125:B129"/>
    <mergeCell ref="C125:C129"/>
    <mergeCell ref="E125:E129"/>
    <mergeCell ref="F125:F129"/>
    <mergeCell ref="G125:G129"/>
    <mergeCell ref="B130:B133"/>
    <mergeCell ref="C130:C133"/>
    <mergeCell ref="E130:E133"/>
    <mergeCell ref="F130:F133"/>
    <mergeCell ref="G130:G13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9"/>
    <outlinePr summaryBelow="0" summaryRight="0"/>
    <pageSetUpPr fitToPage="1"/>
  </sheetPr>
  <dimension ref="A1:AB341"/>
  <sheetViews>
    <sheetView showGridLines="0" tabSelected="1" zoomScale="80" zoomScaleNormal="80" zoomScaleSheetLayoutView="80" workbookViewId="0">
      <selection activeCell="B5" sqref="B5"/>
    </sheetView>
  </sheetViews>
  <sheetFormatPr defaultColWidth="9.140625" defaultRowHeight="15" outlineLevelRow="3" x14ac:dyDescent="0.25"/>
  <cols>
    <col min="1" max="1" width="1.7109375" style="433" customWidth="1"/>
    <col min="2" max="2" width="91.5703125" style="435" customWidth="1"/>
    <col min="3" max="3" width="15.5703125" style="474" customWidth="1"/>
    <col min="4" max="4" width="50.5703125" style="433" bestFit="1" customWidth="1"/>
    <col min="5" max="5" width="13.140625" style="433" customWidth="1"/>
    <col min="6" max="6" width="15.140625" style="433" bestFit="1" customWidth="1"/>
    <col min="7" max="8" width="13.85546875" style="433" bestFit="1" customWidth="1"/>
    <col min="9" max="9" width="15.7109375" style="433" bestFit="1" customWidth="1"/>
    <col min="10" max="16384" width="9.140625" style="433"/>
  </cols>
  <sheetData>
    <row r="1" spans="1:27" ht="50.25" customHeight="1" x14ac:dyDescent="0.25">
      <c r="B1" s="500" t="s">
        <v>317</v>
      </c>
      <c r="C1" s="500" t="s">
        <v>786</v>
      </c>
      <c r="D1" s="501" t="s">
        <v>500</v>
      </c>
    </row>
    <row r="2" spans="1:27" s="434" customFormat="1" ht="21" customHeight="1" x14ac:dyDescent="0.25">
      <c r="B2" s="518"/>
      <c r="C2" s="518"/>
      <c r="D2" s="519"/>
    </row>
    <row r="3" spans="1:27" ht="20.25" customHeight="1" x14ac:dyDescent="0.25">
      <c r="B3" s="510" t="s">
        <v>778</v>
      </c>
      <c r="C3" s="510"/>
      <c r="D3" s="511"/>
    </row>
    <row r="4" spans="1:27" ht="18" customHeight="1" x14ac:dyDescent="0.25">
      <c r="B4" s="506" t="s">
        <v>779</v>
      </c>
      <c r="C4" s="507">
        <v>1450000</v>
      </c>
      <c r="D4" s="505" t="s">
        <v>439</v>
      </c>
    </row>
    <row r="5" spans="1:27" ht="16.5" customHeight="1" x14ac:dyDescent="0.25">
      <c r="B5" s="506" t="s">
        <v>780</v>
      </c>
      <c r="C5" s="507">
        <v>1100000</v>
      </c>
      <c r="D5" s="505" t="s">
        <v>439</v>
      </c>
    </row>
    <row r="6" spans="1:27" ht="16.5" customHeight="1" x14ac:dyDescent="0.25">
      <c r="B6" s="506" t="s">
        <v>781</v>
      </c>
      <c r="C6" s="507">
        <v>1450000</v>
      </c>
      <c r="D6" s="505" t="s">
        <v>439</v>
      </c>
    </row>
    <row r="7" spans="1:27" ht="15" customHeight="1" x14ac:dyDescent="0.25">
      <c r="B7" s="506" t="s">
        <v>782</v>
      </c>
      <c r="C7" s="507">
        <v>1800000</v>
      </c>
      <c r="D7" s="505" t="s">
        <v>439</v>
      </c>
    </row>
    <row r="8" spans="1:27" ht="17.25" customHeight="1" x14ac:dyDescent="0.25">
      <c r="B8" s="506" t="s">
        <v>783</v>
      </c>
      <c r="C8" s="507">
        <v>26000</v>
      </c>
      <c r="D8" s="505" t="s">
        <v>439</v>
      </c>
    </row>
    <row r="9" spans="1:27" ht="13.5" customHeight="1" x14ac:dyDescent="0.25">
      <c r="B9" s="506" t="s">
        <v>784</v>
      </c>
      <c r="C9" s="507">
        <v>130000</v>
      </c>
      <c r="D9" s="505" t="s">
        <v>439</v>
      </c>
    </row>
    <row r="10" spans="1:27" ht="15.75" customHeight="1" x14ac:dyDescent="0.25">
      <c r="B10" s="506" t="s">
        <v>785</v>
      </c>
      <c r="C10" s="507">
        <v>80000</v>
      </c>
      <c r="D10" s="505" t="s">
        <v>439</v>
      </c>
    </row>
    <row r="11" spans="1:27" outlineLevel="1" x14ac:dyDescent="0.25">
      <c r="B11" s="500" t="s">
        <v>66</v>
      </c>
      <c r="C11" s="500" t="s">
        <v>617</v>
      </c>
      <c r="D11" s="501"/>
    </row>
    <row r="12" spans="1:27" s="434" customFormat="1" outlineLevel="2" x14ac:dyDescent="0.25">
      <c r="A12" s="434">
        <v>10049</v>
      </c>
      <c r="B12" s="480" t="s">
        <v>551</v>
      </c>
      <c r="C12" s="481">
        <v>15490</v>
      </c>
      <c r="D12" s="487" t="s">
        <v>501</v>
      </c>
      <c r="E12" s="479"/>
      <c r="F12" s="478"/>
      <c r="G12" s="478"/>
      <c r="H12" s="433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433"/>
      <c r="T12" s="433"/>
      <c r="U12" s="433"/>
      <c r="V12" s="433"/>
      <c r="W12" s="433"/>
      <c r="X12" s="433"/>
      <c r="Y12" s="433"/>
      <c r="Z12" s="433"/>
      <c r="AA12" s="433"/>
    </row>
    <row r="13" spans="1:27" s="434" customFormat="1" outlineLevel="2" x14ac:dyDescent="0.25">
      <c r="A13" s="434">
        <v>10051</v>
      </c>
      <c r="B13" s="480" t="s">
        <v>552</v>
      </c>
      <c r="C13" s="481">
        <v>15590</v>
      </c>
      <c r="D13" s="487" t="s">
        <v>501</v>
      </c>
      <c r="E13" s="479"/>
      <c r="F13" s="478"/>
      <c r="G13" s="478"/>
      <c r="H13" s="433"/>
      <c r="I13" s="433"/>
      <c r="J13" s="433"/>
      <c r="K13" s="433"/>
      <c r="L13" s="433"/>
      <c r="M13" s="433"/>
      <c r="N13" s="433"/>
      <c r="O13" s="433"/>
      <c r="P13" s="433"/>
      <c r="Q13" s="433"/>
      <c r="R13" s="433"/>
      <c r="S13" s="433"/>
      <c r="T13" s="433"/>
      <c r="U13" s="433"/>
      <c r="V13" s="433"/>
      <c r="W13" s="433"/>
      <c r="X13" s="433"/>
      <c r="Y13" s="433"/>
      <c r="Z13" s="433"/>
      <c r="AA13" s="433"/>
    </row>
    <row r="14" spans="1:27" s="434" customFormat="1" outlineLevel="2" x14ac:dyDescent="0.25">
      <c r="A14" s="434">
        <v>10052</v>
      </c>
      <c r="B14" s="480" t="s">
        <v>553</v>
      </c>
      <c r="C14" s="481">
        <v>15890</v>
      </c>
      <c r="D14" s="487" t="s">
        <v>501</v>
      </c>
      <c r="E14" s="479"/>
      <c r="F14" s="478"/>
      <c r="G14" s="478"/>
      <c r="H14" s="433"/>
      <c r="I14" s="433"/>
      <c r="J14" s="433"/>
      <c r="K14" s="433"/>
      <c r="L14" s="433"/>
      <c r="M14" s="433"/>
      <c r="N14" s="433"/>
      <c r="O14" s="433"/>
      <c r="P14" s="433"/>
      <c r="Q14" s="433"/>
      <c r="R14" s="433"/>
      <c r="S14" s="433"/>
      <c r="T14" s="433"/>
      <c r="U14" s="433"/>
      <c r="V14" s="433"/>
      <c r="W14" s="433"/>
      <c r="X14" s="433"/>
      <c r="Y14" s="433"/>
      <c r="Z14" s="433"/>
      <c r="AA14" s="433"/>
    </row>
    <row r="15" spans="1:27" s="434" customFormat="1" outlineLevel="2" x14ac:dyDescent="0.25">
      <c r="A15" s="434">
        <v>10053</v>
      </c>
      <c r="B15" s="480" t="s">
        <v>554</v>
      </c>
      <c r="C15" s="481">
        <v>16190</v>
      </c>
      <c r="D15" s="487" t="s">
        <v>501</v>
      </c>
      <c r="E15" s="479"/>
      <c r="F15" s="478"/>
      <c r="G15" s="478"/>
      <c r="H15" s="433"/>
      <c r="I15" s="433"/>
      <c r="J15" s="433"/>
      <c r="K15" s="433"/>
      <c r="L15" s="433"/>
      <c r="M15" s="433"/>
      <c r="N15" s="433"/>
      <c r="O15" s="433"/>
      <c r="P15" s="433"/>
      <c r="Q15" s="433"/>
      <c r="R15" s="433"/>
      <c r="S15" s="433"/>
      <c r="T15" s="433"/>
      <c r="U15" s="433"/>
      <c r="V15" s="433"/>
      <c r="W15" s="433"/>
      <c r="X15" s="433"/>
      <c r="Y15" s="433"/>
      <c r="Z15" s="433"/>
      <c r="AA15" s="433"/>
    </row>
    <row r="16" spans="1:27" s="434" customFormat="1" outlineLevel="2" x14ac:dyDescent="0.25">
      <c r="A16" s="434">
        <v>10054</v>
      </c>
      <c r="B16" s="480" t="s">
        <v>556</v>
      </c>
      <c r="C16" s="481">
        <v>16390</v>
      </c>
      <c r="D16" s="487" t="s">
        <v>501</v>
      </c>
      <c r="E16" s="479"/>
      <c r="F16" s="478"/>
      <c r="G16" s="478"/>
      <c r="H16" s="433"/>
      <c r="I16" s="433"/>
      <c r="J16" s="433"/>
      <c r="K16" s="433"/>
      <c r="L16" s="433"/>
      <c r="M16" s="433"/>
      <c r="N16" s="433"/>
      <c r="O16" s="433"/>
      <c r="P16" s="433"/>
      <c r="Q16" s="433"/>
      <c r="R16" s="433"/>
      <c r="S16" s="433"/>
      <c r="T16" s="433"/>
      <c r="U16" s="433"/>
      <c r="V16" s="433"/>
      <c r="W16" s="433"/>
      <c r="X16" s="433"/>
      <c r="Y16" s="433"/>
      <c r="Z16" s="433"/>
      <c r="AA16" s="433"/>
    </row>
    <row r="17" spans="1:28" s="434" customFormat="1" outlineLevel="2" x14ac:dyDescent="0.25">
      <c r="A17" s="434">
        <v>10055</v>
      </c>
      <c r="B17" s="480" t="s">
        <v>557</v>
      </c>
      <c r="C17" s="481">
        <v>16590</v>
      </c>
      <c r="D17" s="487" t="s">
        <v>501</v>
      </c>
      <c r="E17" s="479"/>
      <c r="F17" s="478"/>
      <c r="G17" s="478"/>
      <c r="H17" s="433"/>
      <c r="I17" s="433"/>
      <c r="J17" s="433"/>
      <c r="K17" s="433"/>
      <c r="L17" s="433"/>
      <c r="M17" s="433"/>
      <c r="N17" s="433"/>
      <c r="O17" s="433"/>
      <c r="P17" s="433"/>
      <c r="Q17" s="433"/>
      <c r="R17" s="433"/>
      <c r="S17" s="433"/>
      <c r="T17" s="433"/>
      <c r="U17" s="433"/>
      <c r="V17" s="433"/>
      <c r="W17" s="433"/>
      <c r="X17" s="433"/>
      <c r="Y17" s="433"/>
      <c r="Z17" s="433"/>
      <c r="AA17" s="433"/>
    </row>
    <row r="18" spans="1:28" s="434" customFormat="1" outlineLevel="2" x14ac:dyDescent="0.25">
      <c r="B18" s="480" t="s">
        <v>607</v>
      </c>
      <c r="C18" s="481">
        <v>20190</v>
      </c>
      <c r="D18" s="487" t="s">
        <v>501</v>
      </c>
      <c r="E18" s="479"/>
      <c r="F18" s="478"/>
      <c r="G18" s="478"/>
      <c r="H18" s="433"/>
      <c r="I18" s="433"/>
      <c r="J18" s="433"/>
      <c r="K18" s="433"/>
      <c r="L18" s="433"/>
      <c r="M18" s="433"/>
      <c r="N18" s="433"/>
      <c r="O18" s="433"/>
      <c r="P18" s="433"/>
      <c r="Q18" s="433"/>
      <c r="R18" s="433"/>
      <c r="S18" s="433"/>
      <c r="T18" s="433"/>
      <c r="U18" s="433"/>
      <c r="V18" s="433"/>
      <c r="W18" s="433"/>
      <c r="X18" s="433"/>
      <c r="Y18" s="433"/>
      <c r="Z18" s="433"/>
      <c r="AA18" s="433"/>
    </row>
    <row r="19" spans="1:28" s="434" customFormat="1" outlineLevel="2" x14ac:dyDescent="0.25">
      <c r="B19" s="480" t="s">
        <v>608</v>
      </c>
      <c r="C19" s="481">
        <v>20590</v>
      </c>
      <c r="D19" s="487" t="s">
        <v>501</v>
      </c>
      <c r="E19" s="479"/>
      <c r="F19" s="478"/>
      <c r="G19" s="478"/>
      <c r="H19" s="433"/>
      <c r="I19" s="433"/>
      <c r="J19" s="433"/>
      <c r="K19" s="433"/>
      <c r="L19" s="433"/>
      <c r="M19" s="433"/>
      <c r="N19" s="433"/>
      <c r="O19" s="433"/>
      <c r="P19" s="433"/>
      <c r="Q19" s="433"/>
      <c r="R19" s="433"/>
      <c r="S19" s="433"/>
      <c r="T19" s="433"/>
      <c r="U19" s="433"/>
      <c r="V19" s="433"/>
      <c r="W19" s="433"/>
      <c r="X19" s="433"/>
      <c r="Y19" s="433"/>
      <c r="Z19" s="433"/>
      <c r="AA19" s="433"/>
    </row>
    <row r="20" spans="1:28" s="434" customFormat="1" outlineLevel="2" x14ac:dyDescent="0.25">
      <c r="B20" s="480" t="s">
        <v>609</v>
      </c>
      <c r="C20" s="481">
        <v>20890</v>
      </c>
      <c r="D20" s="487" t="s">
        <v>501</v>
      </c>
      <c r="E20" s="479"/>
      <c r="F20" s="478"/>
      <c r="G20" s="478"/>
      <c r="H20" s="433"/>
      <c r="I20" s="433"/>
      <c r="J20" s="433"/>
      <c r="K20" s="433"/>
      <c r="L20" s="433"/>
      <c r="M20" s="433"/>
      <c r="N20" s="433"/>
      <c r="O20" s="433"/>
      <c r="P20" s="433"/>
      <c r="Q20" s="433"/>
      <c r="R20" s="433"/>
      <c r="S20" s="433"/>
      <c r="T20" s="433"/>
      <c r="U20" s="433"/>
      <c r="V20" s="433"/>
      <c r="W20" s="433"/>
      <c r="X20" s="433"/>
      <c r="Y20" s="433"/>
      <c r="Z20" s="433"/>
      <c r="AA20" s="433"/>
    </row>
    <row r="21" spans="1:28" s="434" customFormat="1" outlineLevel="2" x14ac:dyDescent="0.25">
      <c r="A21" s="434">
        <v>10057</v>
      </c>
      <c r="B21" s="480" t="s">
        <v>507</v>
      </c>
      <c r="C21" s="481">
        <v>17990</v>
      </c>
      <c r="D21" s="487" t="s">
        <v>501</v>
      </c>
      <c r="E21" s="479"/>
      <c r="F21" s="478"/>
      <c r="G21" s="433"/>
      <c r="H21" s="433"/>
      <c r="I21" s="433"/>
      <c r="J21" s="433"/>
      <c r="K21" s="433"/>
      <c r="L21" s="433"/>
      <c r="M21" s="433"/>
      <c r="N21" s="433"/>
      <c r="O21" s="433"/>
      <c r="P21" s="433"/>
      <c r="Q21" s="433"/>
      <c r="R21" s="433"/>
      <c r="S21" s="433"/>
      <c r="T21" s="433"/>
      <c r="U21" s="433"/>
      <c r="V21" s="433"/>
      <c r="W21" s="433"/>
      <c r="X21" s="433"/>
      <c r="Y21" s="433"/>
      <c r="Z21" s="433"/>
      <c r="AA21" s="433"/>
      <c r="AB21" s="433"/>
    </row>
    <row r="22" spans="1:28" s="434" customFormat="1" outlineLevel="2" x14ac:dyDescent="0.25">
      <c r="A22" s="434">
        <v>10058</v>
      </c>
      <c r="B22" s="480" t="s">
        <v>508</v>
      </c>
      <c r="C22" s="481">
        <v>18190</v>
      </c>
      <c r="D22" s="487" t="s">
        <v>501</v>
      </c>
      <c r="E22" s="479"/>
      <c r="F22" s="478"/>
      <c r="G22" s="433"/>
      <c r="H22" s="433"/>
      <c r="I22" s="433"/>
      <c r="J22" s="433"/>
      <c r="K22" s="433"/>
      <c r="L22" s="433"/>
      <c r="M22" s="433"/>
      <c r="N22" s="433"/>
      <c r="O22" s="433"/>
      <c r="P22" s="433"/>
      <c r="Q22" s="433"/>
      <c r="R22" s="433"/>
      <c r="S22" s="433"/>
      <c r="T22" s="433"/>
      <c r="U22" s="433"/>
      <c r="V22" s="433"/>
      <c r="W22" s="433"/>
      <c r="X22" s="433"/>
      <c r="Y22" s="433"/>
      <c r="Z22" s="433"/>
      <c r="AA22" s="433"/>
      <c r="AB22" s="433"/>
    </row>
    <row r="23" spans="1:28" s="434" customFormat="1" outlineLevel="2" x14ac:dyDescent="0.25">
      <c r="A23" s="434">
        <v>10059</v>
      </c>
      <c r="B23" s="480" t="s">
        <v>509</v>
      </c>
      <c r="C23" s="481">
        <v>18490</v>
      </c>
      <c r="D23" s="487" t="s">
        <v>501</v>
      </c>
      <c r="E23" s="479"/>
      <c r="F23" s="478"/>
      <c r="G23" s="433"/>
      <c r="H23" s="433"/>
      <c r="I23" s="433"/>
      <c r="J23" s="433"/>
      <c r="K23" s="433"/>
      <c r="L23" s="433"/>
      <c r="M23" s="433"/>
      <c r="N23" s="433"/>
      <c r="O23" s="433"/>
      <c r="P23" s="433"/>
      <c r="Q23" s="433"/>
      <c r="R23" s="433"/>
      <c r="S23" s="433"/>
      <c r="T23" s="433"/>
      <c r="U23" s="433"/>
      <c r="V23" s="433"/>
      <c r="W23" s="433"/>
      <c r="X23" s="433"/>
      <c r="Y23" s="433"/>
      <c r="Z23" s="433"/>
      <c r="AA23" s="433"/>
      <c r="AB23" s="433"/>
    </row>
    <row r="24" spans="1:28" s="434" customFormat="1" outlineLevel="2" x14ac:dyDescent="0.25">
      <c r="A24" s="434">
        <v>10060</v>
      </c>
      <c r="B24" s="480" t="s">
        <v>510</v>
      </c>
      <c r="C24" s="481">
        <v>18690</v>
      </c>
      <c r="D24" s="487" t="s">
        <v>501</v>
      </c>
      <c r="E24" s="479"/>
      <c r="F24" s="478"/>
      <c r="G24" s="433"/>
      <c r="H24" s="433"/>
      <c r="I24" s="433"/>
      <c r="J24" s="433"/>
      <c r="K24" s="433"/>
      <c r="L24" s="433"/>
      <c r="M24" s="433"/>
      <c r="N24" s="433"/>
      <c r="O24" s="433"/>
      <c r="P24" s="433"/>
      <c r="Q24" s="433"/>
      <c r="R24" s="433"/>
      <c r="S24" s="433"/>
      <c r="T24" s="433"/>
      <c r="U24" s="433"/>
      <c r="V24" s="433"/>
      <c r="W24" s="433"/>
      <c r="X24" s="433"/>
      <c r="Y24" s="433"/>
      <c r="Z24" s="433"/>
      <c r="AA24" s="433"/>
      <c r="AB24" s="433"/>
    </row>
    <row r="25" spans="1:28" s="434" customFormat="1" outlineLevel="2" x14ac:dyDescent="0.25">
      <c r="A25" s="434">
        <v>10061</v>
      </c>
      <c r="B25" s="480" t="s">
        <v>511</v>
      </c>
      <c r="C25" s="481">
        <v>18990</v>
      </c>
      <c r="D25" s="487" t="s">
        <v>501</v>
      </c>
      <c r="E25" s="479"/>
      <c r="F25" s="478"/>
      <c r="G25" s="433"/>
      <c r="H25" s="433"/>
      <c r="I25" s="433"/>
      <c r="J25" s="433"/>
      <c r="K25" s="433"/>
      <c r="L25" s="433"/>
      <c r="M25" s="433"/>
      <c r="N25" s="433"/>
      <c r="O25" s="433"/>
      <c r="P25" s="433"/>
      <c r="Q25" s="433"/>
      <c r="R25" s="433"/>
      <c r="S25" s="433"/>
      <c r="T25" s="433"/>
      <c r="U25" s="433"/>
      <c r="V25" s="433"/>
      <c r="W25" s="433"/>
      <c r="X25" s="433"/>
      <c r="Y25" s="433"/>
      <c r="Z25" s="433"/>
      <c r="AA25" s="433"/>
      <c r="AB25" s="433"/>
    </row>
    <row r="26" spans="1:28" s="434" customFormat="1" outlineLevel="2" x14ac:dyDescent="0.25">
      <c r="A26" s="434">
        <v>10062</v>
      </c>
      <c r="B26" s="480" t="s">
        <v>512</v>
      </c>
      <c r="C26" s="481">
        <v>19190</v>
      </c>
      <c r="D26" s="487" t="s">
        <v>501</v>
      </c>
      <c r="E26" s="479"/>
      <c r="F26" s="478"/>
      <c r="G26" s="433"/>
      <c r="H26" s="433"/>
      <c r="I26" s="433"/>
      <c r="J26" s="433"/>
      <c r="K26" s="433"/>
      <c r="L26" s="433"/>
      <c r="M26" s="433"/>
      <c r="N26" s="433"/>
      <c r="O26" s="433"/>
      <c r="P26" s="433"/>
      <c r="Q26" s="433"/>
      <c r="R26" s="433"/>
      <c r="S26" s="433"/>
      <c r="T26" s="433"/>
      <c r="U26" s="433"/>
      <c r="V26" s="433"/>
      <c r="W26" s="433"/>
      <c r="X26" s="433"/>
      <c r="Y26" s="433"/>
      <c r="Z26" s="433"/>
      <c r="AA26" s="433"/>
      <c r="AB26" s="433"/>
    </row>
    <row r="27" spans="1:28" s="434" customFormat="1" outlineLevel="2" x14ac:dyDescent="0.25">
      <c r="A27" s="434">
        <v>10063</v>
      </c>
      <c r="B27" s="480" t="s">
        <v>513</v>
      </c>
      <c r="C27" s="481">
        <v>19490</v>
      </c>
      <c r="D27" s="487" t="s">
        <v>501</v>
      </c>
      <c r="E27" s="479"/>
      <c r="F27" s="478"/>
      <c r="G27" s="433"/>
      <c r="H27" s="433"/>
      <c r="I27" s="433"/>
      <c r="J27" s="433"/>
      <c r="K27" s="433"/>
      <c r="L27" s="433"/>
      <c r="M27" s="433"/>
      <c r="N27" s="433"/>
      <c r="O27" s="433"/>
      <c r="P27" s="433"/>
      <c r="Q27" s="433"/>
      <c r="R27" s="433"/>
      <c r="S27" s="433"/>
      <c r="T27" s="433"/>
      <c r="U27" s="433"/>
      <c r="V27" s="433"/>
      <c r="W27" s="433"/>
      <c r="X27" s="433"/>
      <c r="Y27" s="433"/>
      <c r="Z27" s="433"/>
      <c r="AA27" s="433"/>
      <c r="AB27" s="433"/>
    </row>
    <row r="28" spans="1:28" s="434" customFormat="1" outlineLevel="2" x14ac:dyDescent="0.25">
      <c r="A28" s="434">
        <v>10064</v>
      </c>
      <c r="B28" s="480" t="s">
        <v>514</v>
      </c>
      <c r="C28" s="481">
        <v>19690</v>
      </c>
      <c r="D28" s="487" t="s">
        <v>501</v>
      </c>
      <c r="E28" s="479"/>
      <c r="F28" s="478"/>
      <c r="G28" s="433"/>
      <c r="H28" s="433"/>
      <c r="I28" s="433"/>
      <c r="J28" s="433"/>
      <c r="K28" s="433"/>
      <c r="L28" s="433"/>
      <c r="M28" s="433"/>
      <c r="N28" s="433"/>
      <c r="O28" s="433"/>
      <c r="P28" s="433"/>
      <c r="Q28" s="433"/>
      <c r="R28" s="433"/>
      <c r="S28" s="433"/>
      <c r="T28" s="433"/>
      <c r="U28" s="433"/>
      <c r="V28" s="433"/>
      <c r="W28" s="433"/>
      <c r="X28" s="433"/>
      <c r="Y28" s="433"/>
      <c r="Z28" s="433"/>
      <c r="AA28" s="433"/>
      <c r="AB28" s="433"/>
    </row>
    <row r="29" spans="1:28" s="434" customFormat="1" outlineLevel="2" x14ac:dyDescent="0.25">
      <c r="B29" s="480" t="s">
        <v>610</v>
      </c>
      <c r="C29" s="481">
        <v>25190</v>
      </c>
      <c r="D29" s="487" t="s">
        <v>501</v>
      </c>
      <c r="E29" s="479"/>
      <c r="F29" s="478"/>
      <c r="G29" s="433"/>
      <c r="H29" s="433"/>
      <c r="I29" s="433"/>
      <c r="J29" s="433"/>
      <c r="K29" s="433"/>
      <c r="L29" s="433"/>
      <c r="M29" s="433"/>
      <c r="N29" s="433"/>
      <c r="O29" s="433"/>
      <c r="P29" s="433"/>
      <c r="Q29" s="433"/>
      <c r="R29" s="433"/>
      <c r="S29" s="433"/>
      <c r="T29" s="433"/>
      <c r="U29" s="433"/>
      <c r="V29" s="433"/>
      <c r="W29" s="433"/>
      <c r="X29" s="433"/>
      <c r="Y29" s="433"/>
      <c r="Z29" s="433"/>
      <c r="AA29" s="433"/>
      <c r="AB29" s="433"/>
    </row>
    <row r="30" spans="1:28" s="434" customFormat="1" outlineLevel="2" x14ac:dyDescent="0.25">
      <c r="B30" s="480" t="s">
        <v>611</v>
      </c>
      <c r="C30" s="481">
        <v>25490</v>
      </c>
      <c r="D30" s="487" t="s">
        <v>501</v>
      </c>
      <c r="E30" s="479"/>
      <c r="F30" s="478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  <c r="Z30" s="433"/>
      <c r="AA30" s="433"/>
      <c r="AB30" s="433"/>
    </row>
    <row r="31" spans="1:28" s="434" customFormat="1" outlineLevel="2" x14ac:dyDescent="0.25">
      <c r="B31" s="480" t="s">
        <v>612</v>
      </c>
      <c r="C31" s="481">
        <v>25790</v>
      </c>
      <c r="D31" s="487" t="s">
        <v>501</v>
      </c>
      <c r="E31" s="479"/>
      <c r="F31" s="478"/>
      <c r="G31" s="433"/>
      <c r="H31" s="433"/>
      <c r="I31" s="433"/>
      <c r="J31" s="433"/>
      <c r="K31" s="433"/>
      <c r="L31" s="433"/>
      <c r="M31" s="433"/>
      <c r="N31" s="433"/>
      <c r="O31" s="433"/>
      <c r="P31" s="433"/>
      <c r="Q31" s="433"/>
      <c r="R31" s="433"/>
      <c r="S31" s="433"/>
      <c r="T31" s="433"/>
      <c r="U31" s="433"/>
      <c r="V31" s="433"/>
      <c r="W31" s="433"/>
      <c r="X31" s="433"/>
      <c r="Y31" s="433"/>
      <c r="Z31" s="433"/>
      <c r="AA31" s="433"/>
      <c r="AB31" s="433"/>
    </row>
    <row r="32" spans="1:28" s="434" customFormat="1" outlineLevel="2" x14ac:dyDescent="0.25">
      <c r="B32" s="480" t="s">
        <v>613</v>
      </c>
      <c r="C32" s="481">
        <v>26090</v>
      </c>
      <c r="D32" s="487" t="s">
        <v>501</v>
      </c>
      <c r="E32" s="479"/>
      <c r="F32" s="478"/>
      <c r="G32" s="433"/>
      <c r="H32" s="433"/>
      <c r="I32" s="433"/>
      <c r="J32" s="433"/>
      <c r="K32" s="433"/>
      <c r="L32" s="433"/>
      <c r="M32" s="433"/>
      <c r="N32" s="433"/>
      <c r="O32" s="433"/>
      <c r="P32" s="433"/>
      <c r="Q32" s="433"/>
      <c r="R32" s="433"/>
      <c r="S32" s="433"/>
      <c r="T32" s="433"/>
      <c r="U32" s="433"/>
      <c r="V32" s="433"/>
      <c r="W32" s="433"/>
      <c r="X32" s="433"/>
      <c r="Y32" s="433"/>
      <c r="Z32" s="433"/>
      <c r="AA32" s="433"/>
      <c r="AB32" s="433"/>
    </row>
    <row r="33" spans="1:28" s="434" customFormat="1" outlineLevel="2" x14ac:dyDescent="0.25">
      <c r="B33" s="480" t="s">
        <v>614</v>
      </c>
      <c r="C33" s="481">
        <v>26390</v>
      </c>
      <c r="D33" s="487" t="s">
        <v>501</v>
      </c>
      <c r="E33" s="479"/>
      <c r="F33" s="478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  <c r="U33" s="433"/>
      <c r="V33" s="433"/>
      <c r="W33" s="433"/>
      <c r="X33" s="433"/>
      <c r="Y33" s="433"/>
      <c r="Z33" s="433"/>
      <c r="AA33" s="433"/>
      <c r="AB33" s="433"/>
    </row>
    <row r="34" spans="1:28" s="434" customFormat="1" outlineLevel="2" x14ac:dyDescent="0.25">
      <c r="B34" s="666" t="s">
        <v>816</v>
      </c>
      <c r="C34" s="481">
        <v>21590</v>
      </c>
      <c r="D34" s="487" t="s">
        <v>501</v>
      </c>
      <c r="E34" s="479"/>
      <c r="F34" s="478"/>
      <c r="G34" s="433"/>
      <c r="H34" s="433"/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  <c r="Y34" s="433"/>
      <c r="Z34" s="433"/>
      <c r="AA34" s="433"/>
      <c r="AB34" s="433"/>
    </row>
    <row r="35" spans="1:28" s="434" customFormat="1" outlineLevel="2" x14ac:dyDescent="0.25">
      <c r="B35" s="666" t="s">
        <v>817</v>
      </c>
      <c r="C35" s="481">
        <v>21790</v>
      </c>
      <c r="D35" s="487" t="s">
        <v>501</v>
      </c>
      <c r="E35" s="479"/>
      <c r="F35" s="478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</row>
    <row r="36" spans="1:28" s="434" customFormat="1" outlineLevel="2" x14ac:dyDescent="0.25">
      <c r="A36" s="434">
        <v>10068</v>
      </c>
      <c r="B36" s="666" t="s">
        <v>818</v>
      </c>
      <c r="C36" s="481">
        <v>21990</v>
      </c>
      <c r="D36" s="487" t="s">
        <v>501</v>
      </c>
      <c r="E36" s="479"/>
      <c r="F36" s="478"/>
      <c r="G36" s="433"/>
      <c r="H36" s="433"/>
      <c r="I36" s="433"/>
      <c r="J36" s="433"/>
      <c r="K36" s="433"/>
      <c r="L36" s="433"/>
      <c r="M36" s="433"/>
      <c r="N36" s="433"/>
      <c r="O36" s="433"/>
      <c r="P36" s="433"/>
      <c r="Q36" s="433"/>
      <c r="R36" s="433"/>
      <c r="S36" s="433"/>
      <c r="T36" s="433"/>
      <c r="U36" s="433"/>
      <c r="V36" s="433"/>
      <c r="W36" s="433"/>
      <c r="X36" s="433"/>
      <c r="Y36" s="433"/>
      <c r="Z36" s="433"/>
      <c r="AA36" s="433"/>
      <c r="AB36" s="433"/>
    </row>
    <row r="37" spans="1:28" s="434" customFormat="1" outlineLevel="2" x14ac:dyDescent="0.25">
      <c r="A37" s="434">
        <v>10069</v>
      </c>
      <c r="B37" s="666" t="s">
        <v>819</v>
      </c>
      <c r="C37" s="481">
        <v>22190</v>
      </c>
      <c r="D37" s="487" t="s">
        <v>501</v>
      </c>
      <c r="E37" s="479"/>
      <c r="F37" s="478"/>
      <c r="G37" s="433"/>
      <c r="H37" s="433"/>
      <c r="I37" s="433"/>
      <c r="J37" s="433"/>
      <c r="K37" s="433"/>
      <c r="L37" s="433"/>
      <c r="M37" s="433"/>
      <c r="N37" s="433"/>
      <c r="O37" s="433"/>
      <c r="P37" s="433"/>
      <c r="Q37" s="433"/>
      <c r="R37" s="433"/>
      <c r="S37" s="433"/>
      <c r="T37" s="433"/>
      <c r="U37" s="433"/>
      <c r="V37" s="433"/>
      <c r="W37" s="433"/>
      <c r="X37" s="433"/>
      <c r="Y37" s="433"/>
      <c r="Z37" s="433"/>
      <c r="AA37" s="433"/>
      <c r="AB37" s="433"/>
    </row>
    <row r="38" spans="1:28" s="434" customFormat="1" outlineLevel="2" x14ac:dyDescent="0.25">
      <c r="B38" s="666" t="s">
        <v>820</v>
      </c>
      <c r="C38" s="481">
        <v>22390</v>
      </c>
      <c r="D38" s="487" t="s">
        <v>501</v>
      </c>
      <c r="E38" s="479"/>
      <c r="F38" s="478"/>
      <c r="G38" s="433"/>
      <c r="H38" s="433"/>
      <c r="I38" s="433"/>
      <c r="J38" s="433"/>
      <c r="K38" s="433"/>
      <c r="L38" s="433"/>
      <c r="M38" s="433"/>
      <c r="N38" s="433"/>
      <c r="O38" s="433"/>
      <c r="P38" s="433"/>
      <c r="Q38" s="433"/>
      <c r="R38" s="433"/>
      <c r="S38" s="433"/>
      <c r="T38" s="433"/>
      <c r="U38" s="433"/>
      <c r="V38" s="433"/>
      <c r="W38" s="433"/>
      <c r="X38" s="433"/>
      <c r="Y38" s="433"/>
      <c r="Z38" s="433"/>
      <c r="AA38" s="433"/>
      <c r="AB38" s="433"/>
    </row>
    <row r="39" spans="1:28" s="434" customFormat="1" outlineLevel="2" x14ac:dyDescent="0.25">
      <c r="B39" s="666" t="s">
        <v>821</v>
      </c>
      <c r="C39" s="481">
        <v>22590</v>
      </c>
      <c r="D39" s="487" t="s">
        <v>501</v>
      </c>
      <c r="E39" s="479"/>
      <c r="F39" s="478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3"/>
      <c r="S39" s="433"/>
      <c r="T39" s="433"/>
      <c r="U39" s="433"/>
      <c r="V39" s="433"/>
      <c r="W39" s="433"/>
      <c r="X39" s="433"/>
      <c r="Y39" s="433"/>
      <c r="Z39" s="433"/>
      <c r="AA39" s="433"/>
      <c r="AB39" s="433"/>
    </row>
    <row r="40" spans="1:28" outlineLevel="1" x14ac:dyDescent="0.25">
      <c r="B40" s="666" t="s">
        <v>822</v>
      </c>
      <c r="C40" s="665">
        <v>22790</v>
      </c>
      <c r="D40" s="487" t="s">
        <v>501</v>
      </c>
      <c r="E40" s="479"/>
      <c r="F40" s="478"/>
    </row>
    <row r="41" spans="1:28" outlineLevel="3" x14ac:dyDescent="0.25">
      <c r="A41" s="433">
        <v>10084</v>
      </c>
      <c r="B41" s="664" t="s">
        <v>815</v>
      </c>
      <c r="C41" s="481">
        <v>22490</v>
      </c>
      <c r="D41" s="495" t="s">
        <v>604</v>
      </c>
      <c r="E41" s="479"/>
      <c r="F41" s="478"/>
    </row>
    <row r="42" spans="1:28" outlineLevel="3" x14ac:dyDescent="0.25">
      <c r="A42" s="433">
        <v>10085</v>
      </c>
      <c r="B42" s="480" t="s">
        <v>515</v>
      </c>
      <c r="C42" s="481">
        <v>13690</v>
      </c>
      <c r="D42" s="487" t="s">
        <v>501</v>
      </c>
      <c r="E42" s="479"/>
      <c r="F42" s="478"/>
    </row>
    <row r="43" spans="1:28" outlineLevel="3" x14ac:dyDescent="0.25">
      <c r="A43" s="433">
        <v>10086</v>
      </c>
      <c r="B43" s="480" t="s">
        <v>516</v>
      </c>
      <c r="C43" s="481">
        <v>17090</v>
      </c>
      <c r="D43" s="487" t="s">
        <v>501</v>
      </c>
      <c r="E43" s="479"/>
      <c r="F43" s="478"/>
    </row>
    <row r="44" spans="1:28" outlineLevel="3" x14ac:dyDescent="0.25">
      <c r="A44" s="433">
        <v>10087</v>
      </c>
      <c r="B44" s="520" t="s">
        <v>787</v>
      </c>
      <c r="C44" s="521">
        <v>15900</v>
      </c>
      <c r="D44" s="502" t="s">
        <v>618</v>
      </c>
      <c r="E44" s="479"/>
      <c r="F44" s="478"/>
    </row>
    <row r="45" spans="1:28" outlineLevel="3" x14ac:dyDescent="0.25">
      <c r="A45" s="433">
        <v>10088</v>
      </c>
      <c r="B45" s="480" t="s">
        <v>616</v>
      </c>
      <c r="C45" s="499">
        <v>4990</v>
      </c>
      <c r="D45" s="487" t="s">
        <v>501</v>
      </c>
      <c r="E45" s="479"/>
      <c r="F45" s="478"/>
    </row>
    <row r="46" spans="1:28" outlineLevel="3" x14ac:dyDescent="0.25">
      <c r="A46" s="433">
        <v>10089</v>
      </c>
      <c r="B46" s="500" t="s">
        <v>576</v>
      </c>
      <c r="C46" s="500"/>
      <c r="D46" s="501"/>
      <c r="E46" s="479"/>
      <c r="F46" s="478"/>
    </row>
    <row r="47" spans="1:28" outlineLevel="3" x14ac:dyDescent="0.25">
      <c r="A47" s="433">
        <v>10090</v>
      </c>
      <c r="B47" s="482" t="s">
        <v>517</v>
      </c>
      <c r="C47" s="483">
        <v>13190</v>
      </c>
      <c r="D47" s="488" t="s">
        <v>502</v>
      </c>
      <c r="E47" s="479"/>
      <c r="F47" s="478"/>
    </row>
    <row r="48" spans="1:28" outlineLevel="3" x14ac:dyDescent="0.25">
      <c r="A48" s="433">
        <v>10091</v>
      </c>
      <c r="B48" s="482" t="s">
        <v>518</v>
      </c>
      <c r="C48" s="483">
        <v>14390</v>
      </c>
      <c r="D48" s="488" t="s">
        <v>502</v>
      </c>
      <c r="E48" s="479"/>
      <c r="F48" s="478"/>
    </row>
    <row r="49" spans="1:6" outlineLevel="3" x14ac:dyDescent="0.25">
      <c r="A49" s="433">
        <v>10092</v>
      </c>
      <c r="B49" s="482" t="s">
        <v>519</v>
      </c>
      <c r="C49" s="483">
        <v>16190</v>
      </c>
      <c r="D49" s="488" t="s">
        <v>502</v>
      </c>
      <c r="E49" s="479"/>
      <c r="F49" s="478"/>
    </row>
    <row r="50" spans="1:6" outlineLevel="3" x14ac:dyDescent="0.25">
      <c r="A50" s="433">
        <v>10093</v>
      </c>
      <c r="B50" s="482" t="s">
        <v>520</v>
      </c>
      <c r="C50" s="483">
        <v>22090</v>
      </c>
      <c r="D50" s="488" t="s">
        <v>502</v>
      </c>
      <c r="E50" s="479"/>
      <c r="F50" s="478"/>
    </row>
    <row r="51" spans="1:6" outlineLevel="3" x14ac:dyDescent="0.25">
      <c r="A51" s="433">
        <v>10094</v>
      </c>
      <c r="B51" s="482" t="s">
        <v>521</v>
      </c>
      <c r="C51" s="483">
        <v>26890</v>
      </c>
      <c r="D51" s="488" t="s">
        <v>502</v>
      </c>
      <c r="E51" s="479"/>
      <c r="F51" s="478"/>
    </row>
    <row r="52" spans="1:6" outlineLevel="3" x14ac:dyDescent="0.25">
      <c r="B52" s="482" t="s">
        <v>522</v>
      </c>
      <c r="C52" s="483">
        <v>26890</v>
      </c>
      <c r="D52" s="488" t="s">
        <v>502</v>
      </c>
      <c r="E52" s="479"/>
      <c r="F52" s="478"/>
    </row>
    <row r="53" spans="1:6" outlineLevel="3" x14ac:dyDescent="0.25">
      <c r="B53" s="482" t="s">
        <v>330</v>
      </c>
      <c r="C53" s="483">
        <v>10590</v>
      </c>
      <c r="D53" s="488" t="s">
        <v>502</v>
      </c>
      <c r="E53" s="479"/>
      <c r="F53" s="478"/>
    </row>
    <row r="54" spans="1:6" outlineLevel="3" x14ac:dyDescent="0.25">
      <c r="B54" s="482" t="s">
        <v>331</v>
      </c>
      <c r="C54" s="483">
        <v>10490</v>
      </c>
      <c r="D54" s="488" t="s">
        <v>502</v>
      </c>
      <c r="E54" s="479"/>
      <c r="F54" s="478"/>
    </row>
    <row r="55" spans="1:6" outlineLevel="3" x14ac:dyDescent="0.25">
      <c r="A55" s="433">
        <v>10097</v>
      </c>
      <c r="B55" s="482" t="s">
        <v>332</v>
      </c>
      <c r="C55" s="483">
        <v>14490</v>
      </c>
      <c r="D55" s="488" t="s">
        <v>502</v>
      </c>
      <c r="E55" s="479"/>
      <c r="F55" s="478"/>
    </row>
    <row r="56" spans="1:6" ht="33" customHeight="1" outlineLevel="3" x14ac:dyDescent="0.25">
      <c r="A56" s="433">
        <v>10098</v>
      </c>
      <c r="B56" s="482" t="s">
        <v>333</v>
      </c>
      <c r="C56" s="483">
        <v>15190</v>
      </c>
      <c r="D56" s="488" t="s">
        <v>502</v>
      </c>
      <c r="E56" s="479"/>
      <c r="F56" s="478"/>
    </row>
    <row r="57" spans="1:6" outlineLevel="3" x14ac:dyDescent="0.25">
      <c r="A57" s="433">
        <v>10099</v>
      </c>
      <c r="B57" s="482" t="s">
        <v>334</v>
      </c>
      <c r="C57" s="483">
        <v>22590</v>
      </c>
      <c r="D57" s="488" t="s">
        <v>502</v>
      </c>
      <c r="E57" s="479"/>
      <c r="F57" s="478"/>
    </row>
    <row r="58" spans="1:6" outlineLevel="3" x14ac:dyDescent="0.25">
      <c r="A58" s="433">
        <v>10100</v>
      </c>
      <c r="B58" s="482" t="s">
        <v>572</v>
      </c>
      <c r="C58" s="483">
        <v>33290</v>
      </c>
      <c r="D58" s="488" t="s">
        <v>502</v>
      </c>
      <c r="E58" s="479"/>
      <c r="F58" s="478"/>
    </row>
    <row r="59" spans="1:6" outlineLevel="3" x14ac:dyDescent="0.25">
      <c r="A59" s="433">
        <v>10103</v>
      </c>
      <c r="B59" s="482" t="s">
        <v>573</v>
      </c>
      <c r="C59" s="483">
        <v>32690</v>
      </c>
      <c r="D59" s="488" t="s">
        <v>502</v>
      </c>
      <c r="E59" s="479"/>
      <c r="F59" s="478"/>
    </row>
    <row r="60" spans="1:6" outlineLevel="3" x14ac:dyDescent="0.25">
      <c r="A60" s="433">
        <v>10104</v>
      </c>
      <c r="B60" s="491" t="s">
        <v>586</v>
      </c>
      <c r="C60" s="483">
        <v>270</v>
      </c>
      <c r="D60" s="488" t="s">
        <v>547</v>
      </c>
      <c r="E60" s="479"/>
      <c r="F60" s="478"/>
    </row>
    <row r="61" spans="1:6" ht="15" customHeight="1" outlineLevel="3" x14ac:dyDescent="0.25">
      <c r="A61" s="433">
        <v>10105</v>
      </c>
      <c r="B61" s="482" t="s">
        <v>335</v>
      </c>
      <c r="C61" s="483">
        <v>200</v>
      </c>
      <c r="D61" s="488" t="s">
        <v>503</v>
      </c>
      <c r="E61" s="479"/>
      <c r="F61" s="478"/>
    </row>
    <row r="62" spans="1:6" ht="15" customHeight="1" outlineLevel="3" x14ac:dyDescent="0.25">
      <c r="A62" s="433">
        <v>10106</v>
      </c>
      <c r="B62" s="482" t="s">
        <v>336</v>
      </c>
      <c r="C62" s="483">
        <v>200</v>
      </c>
      <c r="D62" s="488" t="s">
        <v>503</v>
      </c>
      <c r="E62" s="479"/>
      <c r="F62" s="478"/>
    </row>
    <row r="63" spans="1:6" ht="15" customHeight="1" outlineLevel="3" x14ac:dyDescent="0.25">
      <c r="A63" s="433">
        <v>10108</v>
      </c>
      <c r="B63" s="482" t="s">
        <v>523</v>
      </c>
      <c r="C63" s="483">
        <v>300</v>
      </c>
      <c r="D63" s="488" t="s">
        <v>503</v>
      </c>
      <c r="E63" s="479"/>
      <c r="F63" s="478"/>
    </row>
    <row r="64" spans="1:6" ht="15" customHeight="1" outlineLevel="3" x14ac:dyDescent="0.25">
      <c r="A64" s="433">
        <v>10109</v>
      </c>
      <c r="B64" s="482" t="s">
        <v>524</v>
      </c>
      <c r="C64" s="483">
        <v>300</v>
      </c>
      <c r="D64" s="488" t="s">
        <v>503</v>
      </c>
      <c r="E64" s="479"/>
      <c r="F64" s="478"/>
    </row>
    <row r="65" spans="1:6" ht="15" customHeight="1" outlineLevel="3" x14ac:dyDescent="0.25">
      <c r="A65" s="433">
        <v>10110</v>
      </c>
      <c r="B65" s="482" t="s">
        <v>339</v>
      </c>
      <c r="C65" s="483">
        <v>227.84</v>
      </c>
      <c r="D65" s="488" t="s">
        <v>503</v>
      </c>
      <c r="E65" s="479"/>
      <c r="F65" s="478"/>
    </row>
    <row r="66" spans="1:6" ht="15" customHeight="1" outlineLevel="3" x14ac:dyDescent="0.25">
      <c r="A66" s="433">
        <v>10112</v>
      </c>
      <c r="B66" s="482" t="s">
        <v>340</v>
      </c>
      <c r="C66" s="483">
        <v>227.84</v>
      </c>
      <c r="D66" s="488" t="s">
        <v>503</v>
      </c>
      <c r="E66" s="479"/>
      <c r="F66" s="478"/>
    </row>
    <row r="67" spans="1:6" ht="15" customHeight="1" outlineLevel="3" x14ac:dyDescent="0.25">
      <c r="A67" s="433">
        <v>10113</v>
      </c>
      <c r="B67" s="482" t="s">
        <v>341</v>
      </c>
      <c r="C67" s="483">
        <v>627.20000000000005</v>
      </c>
      <c r="D67" s="488" t="s">
        <v>503</v>
      </c>
      <c r="E67" s="479"/>
      <c r="F67" s="478"/>
    </row>
    <row r="68" spans="1:6" ht="15" customHeight="1" outlineLevel="3" x14ac:dyDescent="0.25">
      <c r="A68" s="433">
        <v>10114</v>
      </c>
      <c r="B68" s="482" t="s">
        <v>342</v>
      </c>
      <c r="C68" s="483">
        <v>627.20000000000005</v>
      </c>
      <c r="D68" s="488" t="s">
        <v>503</v>
      </c>
      <c r="E68" s="479"/>
      <c r="F68" s="478"/>
    </row>
    <row r="69" spans="1:6" ht="15" customHeight="1" outlineLevel="3" x14ac:dyDescent="0.25">
      <c r="A69" s="433">
        <v>10115</v>
      </c>
      <c r="B69" s="482" t="s">
        <v>343</v>
      </c>
      <c r="C69" s="483">
        <v>623.36</v>
      </c>
      <c r="D69" s="488" t="s">
        <v>503</v>
      </c>
      <c r="E69" s="479"/>
      <c r="F69" s="478"/>
    </row>
    <row r="70" spans="1:6" ht="15" customHeight="1" outlineLevel="3" x14ac:dyDescent="0.25">
      <c r="A70" s="433">
        <v>10116</v>
      </c>
      <c r="B70" s="482" t="s">
        <v>344</v>
      </c>
      <c r="C70" s="483">
        <v>623.36</v>
      </c>
      <c r="D70" s="488" t="s">
        <v>503</v>
      </c>
      <c r="E70" s="479"/>
      <c r="F70" s="478"/>
    </row>
    <row r="71" spans="1:6" ht="15" customHeight="1" outlineLevel="3" x14ac:dyDescent="0.25">
      <c r="A71" s="433">
        <v>10117</v>
      </c>
      <c r="B71" s="482" t="s">
        <v>345</v>
      </c>
      <c r="C71" s="483">
        <v>1395.2</v>
      </c>
      <c r="D71" s="488" t="s">
        <v>503</v>
      </c>
      <c r="E71" s="479"/>
      <c r="F71" s="478"/>
    </row>
    <row r="72" spans="1:6" ht="15" customHeight="1" outlineLevel="3" x14ac:dyDescent="0.25">
      <c r="A72" s="433">
        <v>10118</v>
      </c>
      <c r="B72" s="482" t="s">
        <v>346</v>
      </c>
      <c r="C72" s="483">
        <v>1395.2</v>
      </c>
      <c r="D72" s="488" t="s">
        <v>503</v>
      </c>
      <c r="E72" s="479"/>
      <c r="F72" s="478"/>
    </row>
    <row r="73" spans="1:6" ht="15" customHeight="1" outlineLevel="3" x14ac:dyDescent="0.25">
      <c r="A73" s="433">
        <v>10119</v>
      </c>
      <c r="B73" s="482" t="s">
        <v>347</v>
      </c>
      <c r="C73" s="483">
        <v>2035.2</v>
      </c>
      <c r="D73" s="488" t="s">
        <v>503</v>
      </c>
      <c r="E73" s="479"/>
      <c r="F73" s="478"/>
    </row>
    <row r="74" spans="1:6" ht="15" customHeight="1" outlineLevel="3" x14ac:dyDescent="0.25">
      <c r="A74" s="433">
        <v>10120</v>
      </c>
      <c r="B74" s="482" t="s">
        <v>348</v>
      </c>
      <c r="C74" s="483">
        <v>2035.2</v>
      </c>
      <c r="D74" s="488" t="s">
        <v>503</v>
      </c>
      <c r="E74" s="479"/>
      <c r="F74" s="478"/>
    </row>
    <row r="75" spans="1:6" ht="15" customHeight="1" outlineLevel="3" x14ac:dyDescent="0.25">
      <c r="A75" s="433">
        <v>10121</v>
      </c>
      <c r="B75" s="482" t="s">
        <v>349</v>
      </c>
      <c r="C75" s="483">
        <v>1736.9600000000003</v>
      </c>
      <c r="D75" s="488" t="s">
        <v>503</v>
      </c>
      <c r="E75" s="479"/>
      <c r="F75" s="478"/>
    </row>
    <row r="76" spans="1:6" ht="15" customHeight="1" outlineLevel="3" x14ac:dyDescent="0.25">
      <c r="B76" s="482" t="s">
        <v>350</v>
      </c>
      <c r="C76" s="483">
        <v>403.2</v>
      </c>
      <c r="D76" s="488" t="s">
        <v>503</v>
      </c>
      <c r="E76" s="479"/>
      <c r="F76" s="478"/>
    </row>
    <row r="77" spans="1:6" ht="15" customHeight="1" outlineLevel="3" x14ac:dyDescent="0.25">
      <c r="B77" s="482" t="s">
        <v>351</v>
      </c>
      <c r="C77" s="483">
        <v>608</v>
      </c>
      <c r="D77" s="488" t="s">
        <v>503</v>
      </c>
      <c r="E77" s="479"/>
      <c r="F77" s="478"/>
    </row>
    <row r="78" spans="1:6" ht="15" customHeight="1" outlineLevel="3" x14ac:dyDescent="0.25">
      <c r="B78" s="482" t="s">
        <v>352</v>
      </c>
      <c r="C78" s="483">
        <v>838.4</v>
      </c>
      <c r="D78" s="488" t="s">
        <v>503</v>
      </c>
      <c r="E78" s="479"/>
      <c r="F78" s="478"/>
    </row>
    <row r="79" spans="1:6" ht="15" customHeight="1" outlineLevel="3" x14ac:dyDescent="0.25">
      <c r="B79" s="482" t="s">
        <v>353</v>
      </c>
      <c r="C79" s="483">
        <v>1848</v>
      </c>
      <c r="D79" s="488" t="s">
        <v>503</v>
      </c>
      <c r="E79" s="479"/>
      <c r="F79" s="478"/>
    </row>
    <row r="80" spans="1:6" ht="15" customHeight="1" outlineLevel="3" x14ac:dyDescent="0.25">
      <c r="B80" s="482" t="s">
        <v>354</v>
      </c>
      <c r="C80" s="483">
        <v>2374.4</v>
      </c>
      <c r="D80" s="488" t="s">
        <v>503</v>
      </c>
      <c r="E80" s="479"/>
      <c r="F80" s="478"/>
    </row>
    <row r="81" spans="1:6" ht="15" customHeight="1" outlineLevel="3" x14ac:dyDescent="0.25">
      <c r="B81" s="482" t="s">
        <v>525</v>
      </c>
      <c r="C81" s="483">
        <v>3456</v>
      </c>
      <c r="D81" s="488" t="s">
        <v>503</v>
      </c>
      <c r="E81" s="479"/>
      <c r="F81" s="478"/>
    </row>
    <row r="82" spans="1:6" ht="15" customHeight="1" outlineLevel="3" x14ac:dyDescent="0.25">
      <c r="B82" s="482" t="s">
        <v>558</v>
      </c>
      <c r="C82" s="483">
        <v>6272</v>
      </c>
      <c r="D82" s="488" t="s">
        <v>503</v>
      </c>
      <c r="E82" s="479"/>
      <c r="F82" s="478"/>
    </row>
    <row r="83" spans="1:6" ht="15" customHeight="1" outlineLevel="3" x14ac:dyDescent="0.25">
      <c r="B83" s="482" t="s">
        <v>559</v>
      </c>
      <c r="C83" s="483">
        <v>8320</v>
      </c>
      <c r="D83" s="488" t="s">
        <v>503</v>
      </c>
      <c r="E83" s="479"/>
      <c r="F83" s="478"/>
    </row>
    <row r="84" spans="1:6" ht="15" customHeight="1" outlineLevel="3" x14ac:dyDescent="0.25">
      <c r="B84" s="482" t="s">
        <v>560</v>
      </c>
      <c r="C84" s="483">
        <v>16512</v>
      </c>
      <c r="D84" s="488" t="s">
        <v>503</v>
      </c>
      <c r="E84" s="479"/>
      <c r="F84" s="478"/>
    </row>
    <row r="85" spans="1:6" ht="15" customHeight="1" outlineLevel="3" x14ac:dyDescent="0.25">
      <c r="B85" s="524" t="s">
        <v>792</v>
      </c>
      <c r="C85" s="522"/>
      <c r="D85" s="523"/>
      <c r="E85" s="479"/>
      <c r="F85" s="478"/>
    </row>
    <row r="86" spans="1:6" ht="15" customHeight="1" outlineLevel="3" x14ac:dyDescent="0.25">
      <c r="B86" s="525" t="s">
        <v>793</v>
      </c>
      <c r="C86" s="492">
        <v>345000</v>
      </c>
      <c r="D86" s="528" t="s">
        <v>808</v>
      </c>
      <c r="E86" s="479"/>
      <c r="F86" s="478"/>
    </row>
    <row r="87" spans="1:6" ht="15" customHeight="1" outlineLevel="3" x14ac:dyDescent="0.25">
      <c r="B87" s="525" t="s">
        <v>794</v>
      </c>
      <c r="C87" s="492">
        <v>545000</v>
      </c>
      <c r="D87" s="528" t="s">
        <v>809</v>
      </c>
      <c r="E87" s="479"/>
      <c r="F87" s="478"/>
    </row>
    <row r="88" spans="1:6" ht="15" customHeight="1" outlineLevel="3" x14ac:dyDescent="0.25">
      <c r="B88" s="525" t="s">
        <v>795</v>
      </c>
      <c r="C88" s="492">
        <v>650000</v>
      </c>
      <c r="D88" s="528" t="s">
        <v>808</v>
      </c>
      <c r="E88" s="479"/>
      <c r="F88" s="478"/>
    </row>
    <row r="89" spans="1:6" ht="15" customHeight="1" outlineLevel="3" x14ac:dyDescent="0.25">
      <c r="B89" s="525" t="s">
        <v>796</v>
      </c>
      <c r="C89" s="492">
        <v>700000</v>
      </c>
      <c r="D89" s="528" t="s">
        <v>808</v>
      </c>
      <c r="E89" s="479"/>
      <c r="F89" s="478"/>
    </row>
    <row r="90" spans="1:6" ht="15" customHeight="1" outlineLevel="3" x14ac:dyDescent="0.25">
      <c r="B90" s="525" t="s">
        <v>797</v>
      </c>
      <c r="C90" s="492">
        <v>950000</v>
      </c>
      <c r="D90" s="528" t="s">
        <v>808</v>
      </c>
      <c r="E90" s="479"/>
      <c r="F90" s="478"/>
    </row>
    <row r="91" spans="1:6" ht="15" customHeight="1" outlineLevel="3" x14ac:dyDescent="0.25">
      <c r="B91" s="525" t="s">
        <v>798</v>
      </c>
      <c r="C91" s="526">
        <v>1150000</v>
      </c>
      <c r="D91" s="528" t="s">
        <v>808</v>
      </c>
      <c r="E91" s="479"/>
      <c r="F91" s="478"/>
    </row>
    <row r="92" spans="1:6" ht="15" customHeight="1" outlineLevel="3" x14ac:dyDescent="0.25">
      <c r="B92" s="525" t="s">
        <v>799</v>
      </c>
      <c r="C92" s="492">
        <v>1035000</v>
      </c>
      <c r="D92" s="528" t="s">
        <v>808</v>
      </c>
      <c r="E92" s="479"/>
      <c r="F92" s="478"/>
    </row>
    <row r="93" spans="1:6" ht="15" customHeight="1" outlineLevel="3" x14ac:dyDescent="0.25">
      <c r="B93" s="525" t="s">
        <v>800</v>
      </c>
      <c r="C93" s="492">
        <v>1235000</v>
      </c>
      <c r="D93" s="528" t="s">
        <v>808</v>
      </c>
      <c r="E93" s="479"/>
      <c r="F93" s="478"/>
    </row>
    <row r="94" spans="1:6" ht="15" customHeight="1" outlineLevel="3" x14ac:dyDescent="0.25">
      <c r="B94" s="525" t="s">
        <v>801</v>
      </c>
      <c r="C94" s="492">
        <v>1035000</v>
      </c>
      <c r="D94" s="528" t="s">
        <v>808</v>
      </c>
      <c r="E94" s="479"/>
      <c r="F94" s="478"/>
    </row>
    <row r="95" spans="1:6" ht="15" customHeight="1" outlineLevel="1" x14ac:dyDescent="0.25">
      <c r="B95" s="525" t="s">
        <v>802</v>
      </c>
      <c r="C95" s="492">
        <v>1235000</v>
      </c>
      <c r="D95" s="528" t="s">
        <v>808</v>
      </c>
      <c r="E95" s="479"/>
      <c r="F95" s="478"/>
    </row>
    <row r="96" spans="1:6" ht="15" customHeight="1" outlineLevel="3" x14ac:dyDescent="0.25">
      <c r="A96" s="433">
        <v>10122</v>
      </c>
      <c r="B96" s="525" t="s">
        <v>803</v>
      </c>
      <c r="C96" s="492">
        <v>1500000</v>
      </c>
      <c r="D96" s="528" t="s">
        <v>808</v>
      </c>
      <c r="E96" s="479"/>
      <c r="F96" s="478"/>
    </row>
    <row r="97" spans="1:8" ht="15" customHeight="1" outlineLevel="3" x14ac:dyDescent="0.25">
      <c r="B97" s="525" t="s">
        <v>804</v>
      </c>
      <c r="C97" s="492">
        <v>1700000</v>
      </c>
      <c r="D97" s="528" t="s">
        <v>808</v>
      </c>
      <c r="E97" s="479"/>
      <c r="F97" s="478"/>
    </row>
    <row r="98" spans="1:8" ht="15" customHeight="1" outlineLevel="3" x14ac:dyDescent="0.25">
      <c r="B98" s="525" t="s">
        <v>805</v>
      </c>
      <c r="C98" s="492">
        <v>1900000</v>
      </c>
      <c r="D98" s="528" t="s">
        <v>808</v>
      </c>
      <c r="E98" s="479"/>
      <c r="F98" s="478"/>
    </row>
    <row r="99" spans="1:8" ht="15" customHeight="1" outlineLevel="3" x14ac:dyDescent="0.25">
      <c r="B99" s="525" t="s">
        <v>806</v>
      </c>
      <c r="C99" s="492">
        <v>2650000</v>
      </c>
      <c r="D99" s="528" t="s">
        <v>808</v>
      </c>
      <c r="E99" s="479"/>
      <c r="F99" s="478"/>
    </row>
    <row r="100" spans="1:8" ht="15" customHeight="1" outlineLevel="3" x14ac:dyDescent="0.25">
      <c r="B100" s="525" t="s">
        <v>807</v>
      </c>
      <c r="C100" s="492">
        <v>3050000</v>
      </c>
      <c r="D100" s="528" t="s">
        <v>808</v>
      </c>
      <c r="E100" s="479"/>
      <c r="F100" s="478"/>
      <c r="G100" s="496"/>
    </row>
    <row r="101" spans="1:8" ht="15" customHeight="1" outlineLevel="3" x14ac:dyDescent="0.25">
      <c r="B101" s="500" t="s">
        <v>433</v>
      </c>
      <c r="C101" s="500"/>
      <c r="D101" s="501"/>
      <c r="E101" s="479"/>
      <c r="F101" s="478"/>
    </row>
    <row r="102" spans="1:8" ht="15" customHeight="1" outlineLevel="3" x14ac:dyDescent="0.25">
      <c r="B102" s="486" t="s">
        <v>587</v>
      </c>
      <c r="C102" s="483">
        <v>200990</v>
      </c>
      <c r="D102" s="489" t="s">
        <v>567</v>
      </c>
      <c r="E102" s="479"/>
      <c r="F102" s="478"/>
    </row>
    <row r="103" spans="1:8" ht="15" customHeight="1" outlineLevel="3" x14ac:dyDescent="0.25">
      <c r="B103" s="486" t="s">
        <v>588</v>
      </c>
      <c r="C103" s="483">
        <v>162990</v>
      </c>
      <c r="D103" s="489" t="s">
        <v>567</v>
      </c>
      <c r="E103" s="479"/>
      <c r="F103" s="478"/>
    </row>
    <row r="104" spans="1:8" ht="15" customHeight="1" outlineLevel="3" x14ac:dyDescent="0.25">
      <c r="B104" s="486" t="s">
        <v>589</v>
      </c>
      <c r="C104" s="483">
        <v>8990</v>
      </c>
      <c r="D104" s="489" t="s">
        <v>567</v>
      </c>
      <c r="E104" s="479"/>
      <c r="F104" s="478"/>
    </row>
    <row r="105" spans="1:8" ht="15" customHeight="1" outlineLevel="3" x14ac:dyDescent="0.25">
      <c r="A105" s="433">
        <v>10124</v>
      </c>
      <c r="B105" s="486" t="s">
        <v>561</v>
      </c>
      <c r="C105" s="483">
        <v>162990</v>
      </c>
      <c r="D105" s="489" t="s">
        <v>567</v>
      </c>
      <c r="E105" s="479"/>
      <c r="F105" s="478"/>
    </row>
    <row r="106" spans="1:8" outlineLevel="3" x14ac:dyDescent="0.25">
      <c r="A106" s="433">
        <v>10126</v>
      </c>
      <c r="B106" s="486" t="s">
        <v>571</v>
      </c>
      <c r="C106" s="483">
        <v>234990</v>
      </c>
      <c r="D106" s="489" t="s">
        <v>567</v>
      </c>
      <c r="E106" s="479"/>
      <c r="F106" s="478"/>
    </row>
    <row r="107" spans="1:8" outlineLevel="3" x14ac:dyDescent="0.25">
      <c r="B107" s="486" t="s">
        <v>562</v>
      </c>
      <c r="C107" s="483">
        <v>491490</v>
      </c>
      <c r="D107" s="489" t="s">
        <v>567</v>
      </c>
      <c r="E107" s="479"/>
      <c r="F107" s="478"/>
    </row>
    <row r="108" spans="1:8" outlineLevel="3" x14ac:dyDescent="0.25">
      <c r="B108" s="486" t="s">
        <v>563</v>
      </c>
      <c r="C108" s="483">
        <v>4944</v>
      </c>
      <c r="D108" s="489" t="s">
        <v>567</v>
      </c>
      <c r="E108" s="479"/>
      <c r="F108" s="478"/>
    </row>
    <row r="109" spans="1:8" outlineLevel="1" x14ac:dyDescent="0.25">
      <c r="B109" s="486" t="s">
        <v>564</v>
      </c>
      <c r="C109" s="483">
        <v>7504</v>
      </c>
      <c r="D109" s="489" t="s">
        <v>567</v>
      </c>
      <c r="E109" s="479"/>
      <c r="F109" s="478"/>
    </row>
    <row r="110" spans="1:8" outlineLevel="3" x14ac:dyDescent="0.25">
      <c r="A110" s="433">
        <v>10130</v>
      </c>
      <c r="B110" s="486" t="s">
        <v>565</v>
      </c>
      <c r="C110" s="483">
        <v>6704</v>
      </c>
      <c r="D110" s="489" t="s">
        <v>567</v>
      </c>
      <c r="E110" s="479"/>
      <c r="F110" s="478"/>
    </row>
    <row r="111" spans="1:8" ht="15" customHeight="1" outlineLevel="3" x14ac:dyDescent="0.25">
      <c r="A111" s="433">
        <v>10133</v>
      </c>
      <c r="B111" s="486" t="s">
        <v>358</v>
      </c>
      <c r="C111" s="483">
        <v>30790</v>
      </c>
      <c r="D111" s="489" t="s">
        <v>506</v>
      </c>
      <c r="E111" s="479"/>
      <c r="F111" s="478"/>
    </row>
    <row r="112" spans="1:8" outlineLevel="3" x14ac:dyDescent="0.25">
      <c r="A112" s="433">
        <v>10137</v>
      </c>
      <c r="B112" s="486" t="s">
        <v>526</v>
      </c>
      <c r="C112" s="483">
        <v>52390</v>
      </c>
      <c r="D112" s="489" t="s">
        <v>506</v>
      </c>
      <c r="E112" s="479"/>
      <c r="F112" s="478"/>
      <c r="G112" s="478"/>
      <c r="H112" s="478"/>
    </row>
    <row r="113" spans="1:8" outlineLevel="3" x14ac:dyDescent="0.25">
      <c r="A113" s="433">
        <v>10151</v>
      </c>
      <c r="B113" s="486" t="s">
        <v>790</v>
      </c>
      <c r="C113" s="483">
        <v>34000</v>
      </c>
      <c r="D113" s="489" t="s">
        <v>791</v>
      </c>
      <c r="E113" s="479"/>
      <c r="F113" s="478"/>
      <c r="G113" s="478"/>
      <c r="H113" s="478"/>
    </row>
    <row r="114" spans="1:8" outlineLevel="3" x14ac:dyDescent="0.25">
      <c r="B114" s="486" t="s">
        <v>549</v>
      </c>
      <c r="C114" s="483">
        <v>20590</v>
      </c>
      <c r="D114" s="489" t="s">
        <v>548</v>
      </c>
      <c r="E114" s="479"/>
      <c r="F114" s="478"/>
      <c r="G114" s="478"/>
      <c r="H114" s="478"/>
    </row>
    <row r="115" spans="1:8" outlineLevel="3" x14ac:dyDescent="0.25">
      <c r="A115" s="433">
        <v>10155</v>
      </c>
      <c r="B115" s="500" t="s">
        <v>590</v>
      </c>
      <c r="C115" s="500"/>
      <c r="D115" s="501"/>
      <c r="E115" s="479"/>
      <c r="F115" s="478"/>
      <c r="G115" s="478"/>
      <c r="H115" s="478"/>
    </row>
    <row r="116" spans="1:8" outlineLevel="3" x14ac:dyDescent="0.25">
      <c r="B116" s="494" t="s">
        <v>527</v>
      </c>
      <c r="C116" s="483">
        <v>48000</v>
      </c>
      <c r="D116" s="488" t="s">
        <v>574</v>
      </c>
      <c r="E116" s="479"/>
      <c r="F116" s="478"/>
      <c r="G116" s="478"/>
      <c r="H116" s="478"/>
    </row>
    <row r="117" spans="1:8" outlineLevel="3" x14ac:dyDescent="0.25">
      <c r="B117" s="494" t="s">
        <v>365</v>
      </c>
      <c r="C117" s="483">
        <v>101000</v>
      </c>
      <c r="D117" s="488" t="s">
        <v>574</v>
      </c>
      <c r="E117" s="479"/>
      <c r="F117" s="478"/>
      <c r="G117" s="478"/>
      <c r="H117" s="478"/>
    </row>
    <row r="118" spans="1:8" outlineLevel="3" x14ac:dyDescent="0.25">
      <c r="A118" s="433">
        <v>10157</v>
      </c>
      <c r="B118" s="484" t="s">
        <v>528</v>
      </c>
      <c r="C118" s="483">
        <v>153000</v>
      </c>
      <c r="D118" s="488" t="s">
        <v>574</v>
      </c>
      <c r="E118" s="479"/>
      <c r="F118" s="478"/>
      <c r="G118" s="478"/>
      <c r="H118" s="478"/>
    </row>
    <row r="119" spans="1:8" outlineLevel="3" x14ac:dyDescent="0.25">
      <c r="B119" s="484" t="s">
        <v>529</v>
      </c>
      <c r="C119" s="483">
        <v>572000</v>
      </c>
      <c r="D119" s="488" t="s">
        <v>574</v>
      </c>
      <c r="E119" s="479"/>
      <c r="F119" s="478"/>
      <c r="G119" s="478"/>
      <c r="H119" s="478"/>
    </row>
    <row r="120" spans="1:8" outlineLevel="3" x14ac:dyDescent="0.25">
      <c r="B120" s="497" t="s">
        <v>555</v>
      </c>
      <c r="C120" s="483">
        <v>643000</v>
      </c>
      <c r="D120" s="488" t="s">
        <v>574</v>
      </c>
      <c r="E120" s="479"/>
      <c r="F120" s="478"/>
      <c r="G120" s="478"/>
      <c r="H120" s="478"/>
    </row>
    <row r="121" spans="1:8" outlineLevel="3" x14ac:dyDescent="0.25">
      <c r="B121" s="484" t="s">
        <v>530</v>
      </c>
      <c r="C121" s="483">
        <v>68000</v>
      </c>
      <c r="D121" s="488" t="s">
        <v>574</v>
      </c>
      <c r="E121" s="479"/>
      <c r="F121" s="478"/>
      <c r="G121" s="478"/>
      <c r="H121" s="478"/>
    </row>
    <row r="122" spans="1:8" outlineLevel="3" x14ac:dyDescent="0.25">
      <c r="B122" s="484" t="s">
        <v>550</v>
      </c>
      <c r="C122" s="483">
        <v>16000</v>
      </c>
      <c r="D122" s="488" t="s">
        <v>574</v>
      </c>
      <c r="E122" s="479"/>
      <c r="F122" s="478"/>
      <c r="G122" s="478"/>
      <c r="H122" s="478"/>
    </row>
    <row r="123" spans="1:8" outlineLevel="3" x14ac:dyDescent="0.25">
      <c r="B123" s="498" t="s">
        <v>566</v>
      </c>
      <c r="C123" s="483">
        <v>14000</v>
      </c>
      <c r="D123" s="488" t="s">
        <v>574</v>
      </c>
      <c r="E123" s="479"/>
      <c r="F123" s="478"/>
      <c r="G123" s="478"/>
      <c r="H123" s="478"/>
    </row>
    <row r="124" spans="1:8" outlineLevel="3" x14ac:dyDescent="0.25">
      <c r="B124" s="484" t="s">
        <v>531</v>
      </c>
      <c r="C124" s="483">
        <v>8000</v>
      </c>
      <c r="D124" s="488" t="s">
        <v>574</v>
      </c>
      <c r="E124" s="479"/>
      <c r="F124" s="478"/>
      <c r="G124" s="478"/>
      <c r="H124" s="478"/>
    </row>
    <row r="125" spans="1:8" outlineLevel="3" x14ac:dyDescent="0.25">
      <c r="B125" s="484" t="s">
        <v>532</v>
      </c>
      <c r="C125" s="492">
        <v>10200</v>
      </c>
      <c r="D125" s="488" t="s">
        <v>575</v>
      </c>
      <c r="E125" s="479"/>
      <c r="F125" s="478"/>
      <c r="G125" s="478"/>
      <c r="H125" s="478"/>
    </row>
    <row r="126" spans="1:8" outlineLevel="1" x14ac:dyDescent="0.25">
      <c r="B126" s="484" t="s">
        <v>533</v>
      </c>
      <c r="C126" s="492">
        <v>17650</v>
      </c>
      <c r="D126" s="488" t="s">
        <v>575</v>
      </c>
      <c r="E126" s="479"/>
      <c r="F126" s="478"/>
      <c r="G126" s="478"/>
      <c r="H126" s="478"/>
    </row>
    <row r="127" spans="1:8" ht="15" customHeight="1" outlineLevel="3" x14ac:dyDescent="0.25">
      <c r="A127" s="433">
        <v>10157</v>
      </c>
      <c r="B127" s="484" t="s">
        <v>534</v>
      </c>
      <c r="C127" s="492">
        <v>6500</v>
      </c>
      <c r="D127" s="488" t="s">
        <v>575</v>
      </c>
      <c r="E127" s="479"/>
      <c r="F127" s="478"/>
    </row>
    <row r="128" spans="1:8" ht="15" customHeight="1" outlineLevel="3" x14ac:dyDescent="0.25">
      <c r="A128" s="433">
        <v>10158</v>
      </c>
      <c r="B128" s="500" t="s">
        <v>619</v>
      </c>
      <c r="C128" s="500"/>
      <c r="D128" s="501"/>
      <c r="E128" s="479"/>
      <c r="F128" s="478"/>
    </row>
    <row r="129" spans="1:6" ht="15" customHeight="1" outlineLevel="3" x14ac:dyDescent="0.25">
      <c r="A129" s="433">
        <v>10159</v>
      </c>
      <c r="B129" s="503" t="s">
        <v>620</v>
      </c>
      <c r="C129" s="492">
        <v>46500</v>
      </c>
      <c r="D129" s="488" t="s">
        <v>618</v>
      </c>
      <c r="E129" s="479"/>
      <c r="F129" s="478"/>
    </row>
    <row r="130" spans="1:6" ht="15" customHeight="1" outlineLevel="3" x14ac:dyDescent="0.25">
      <c r="B130" s="503" t="s">
        <v>621</v>
      </c>
      <c r="C130" s="492">
        <v>52500</v>
      </c>
      <c r="D130" s="488" t="s">
        <v>618</v>
      </c>
      <c r="E130" s="479"/>
      <c r="F130" s="478"/>
    </row>
    <row r="131" spans="1:6" ht="15" customHeight="1" outlineLevel="3" x14ac:dyDescent="0.25">
      <c r="B131" s="503" t="s">
        <v>622</v>
      </c>
      <c r="C131" s="492">
        <v>63500</v>
      </c>
      <c r="D131" s="488" t="s">
        <v>618</v>
      </c>
      <c r="E131" s="479"/>
      <c r="F131" s="478"/>
    </row>
    <row r="132" spans="1:6" ht="15" customHeight="1" outlineLevel="3" x14ac:dyDescent="0.25">
      <c r="B132" s="500" t="s">
        <v>591</v>
      </c>
      <c r="C132" s="500"/>
      <c r="D132" s="501"/>
      <c r="E132" s="479"/>
      <c r="F132" s="478"/>
    </row>
    <row r="133" spans="1:6" ht="15" customHeight="1" outlineLevel="3" x14ac:dyDescent="0.25">
      <c r="B133" s="504" t="s">
        <v>592</v>
      </c>
      <c r="C133" s="483">
        <v>49000</v>
      </c>
      <c r="D133" s="527" t="s">
        <v>603</v>
      </c>
      <c r="E133" s="479"/>
      <c r="F133" s="478"/>
    </row>
    <row r="134" spans="1:6" ht="15" customHeight="1" outlineLevel="3" x14ac:dyDescent="0.25">
      <c r="B134" s="504" t="s">
        <v>593</v>
      </c>
      <c r="C134" s="483">
        <v>56000</v>
      </c>
      <c r="D134" s="493" t="s">
        <v>603</v>
      </c>
      <c r="E134" s="479"/>
      <c r="F134" s="478"/>
    </row>
    <row r="135" spans="1:6" ht="15" customHeight="1" outlineLevel="3" x14ac:dyDescent="0.25">
      <c r="B135" s="504" t="s">
        <v>594</v>
      </c>
      <c r="C135" s="483">
        <v>78000</v>
      </c>
      <c r="D135" s="493" t="s">
        <v>603</v>
      </c>
      <c r="E135" s="479"/>
      <c r="F135" s="478"/>
    </row>
    <row r="136" spans="1:6" ht="15" customHeight="1" outlineLevel="3" x14ac:dyDescent="0.25">
      <c r="B136" s="504" t="s">
        <v>595</v>
      </c>
      <c r="C136" s="492">
        <v>93000</v>
      </c>
      <c r="D136" s="493" t="s">
        <v>603</v>
      </c>
      <c r="E136" s="479"/>
      <c r="F136" s="478"/>
    </row>
    <row r="137" spans="1:6" ht="15" customHeight="1" outlineLevel="3" x14ac:dyDescent="0.25">
      <c r="B137" s="504" t="s">
        <v>596</v>
      </c>
      <c r="C137" s="492">
        <v>127000</v>
      </c>
      <c r="D137" s="493" t="s">
        <v>603</v>
      </c>
      <c r="E137" s="479"/>
      <c r="F137" s="478"/>
    </row>
    <row r="138" spans="1:6" ht="15" customHeight="1" outlineLevel="3" x14ac:dyDescent="0.25">
      <c r="B138" s="504" t="s">
        <v>597</v>
      </c>
      <c r="C138" s="492">
        <v>138000</v>
      </c>
      <c r="D138" s="493" t="s">
        <v>603</v>
      </c>
      <c r="E138" s="479"/>
      <c r="F138" s="478"/>
    </row>
    <row r="139" spans="1:6" ht="15" customHeight="1" outlineLevel="3" x14ac:dyDescent="0.25">
      <c r="B139" s="504" t="s">
        <v>598</v>
      </c>
      <c r="C139" s="492">
        <v>187000</v>
      </c>
      <c r="D139" s="493" t="s">
        <v>603</v>
      </c>
      <c r="E139" s="479"/>
      <c r="F139" s="478"/>
    </row>
    <row r="140" spans="1:6" ht="15" customHeight="1" outlineLevel="3" x14ac:dyDescent="0.25">
      <c r="B140" s="504" t="s">
        <v>599</v>
      </c>
      <c r="C140" s="492">
        <v>255000</v>
      </c>
      <c r="D140" s="493" t="s">
        <v>603</v>
      </c>
      <c r="E140" s="479"/>
      <c r="F140" s="478"/>
    </row>
    <row r="141" spans="1:6" ht="15" customHeight="1" outlineLevel="3" x14ac:dyDescent="0.25">
      <c r="B141" s="504" t="s">
        <v>615</v>
      </c>
      <c r="C141" s="492">
        <v>400000</v>
      </c>
      <c r="D141" s="493" t="s">
        <v>603</v>
      </c>
      <c r="E141" s="479"/>
      <c r="F141" s="478"/>
    </row>
    <row r="142" spans="1:6" ht="15" customHeight="1" outlineLevel="3" x14ac:dyDescent="0.25">
      <c r="B142" s="504" t="s">
        <v>810</v>
      </c>
      <c r="C142" s="492">
        <v>145000</v>
      </c>
      <c r="D142" s="493" t="s">
        <v>603</v>
      </c>
      <c r="E142" s="479"/>
      <c r="F142" s="478"/>
    </row>
    <row r="143" spans="1:6" ht="15" customHeight="1" outlineLevel="3" x14ac:dyDescent="0.25">
      <c r="B143" s="504" t="s">
        <v>811</v>
      </c>
      <c r="C143" s="492">
        <v>228000</v>
      </c>
      <c r="D143" s="493" t="s">
        <v>603</v>
      </c>
      <c r="E143" s="479"/>
      <c r="F143" s="478"/>
    </row>
    <row r="144" spans="1:6" ht="15" customHeight="1" outlineLevel="1" x14ac:dyDescent="0.25">
      <c r="B144" s="504" t="s">
        <v>814</v>
      </c>
      <c r="C144" s="492">
        <v>305000</v>
      </c>
      <c r="D144" s="493" t="s">
        <v>603</v>
      </c>
      <c r="E144" s="479"/>
      <c r="F144" s="478"/>
    </row>
    <row r="145" spans="2:6" ht="15" customHeight="1" outlineLevel="2" x14ac:dyDescent="0.25">
      <c r="B145" s="504" t="s">
        <v>812</v>
      </c>
      <c r="C145" s="492">
        <v>350000</v>
      </c>
      <c r="D145" s="493" t="s">
        <v>603</v>
      </c>
      <c r="E145" s="479"/>
      <c r="F145" s="478"/>
    </row>
    <row r="146" spans="2:6" ht="15" customHeight="1" outlineLevel="2" x14ac:dyDescent="0.25">
      <c r="B146" s="504" t="s">
        <v>813</v>
      </c>
      <c r="C146" s="492">
        <v>400000</v>
      </c>
      <c r="D146" s="493" t="s">
        <v>603</v>
      </c>
      <c r="E146" s="479"/>
      <c r="F146" s="478"/>
    </row>
    <row r="147" spans="2:6" ht="15" customHeight="1" outlineLevel="2" x14ac:dyDescent="0.25">
      <c r="B147" s="504" t="s">
        <v>600</v>
      </c>
      <c r="C147" s="492">
        <v>3500</v>
      </c>
      <c r="D147" s="493" t="s">
        <v>603</v>
      </c>
      <c r="E147" s="479"/>
      <c r="F147" s="478"/>
    </row>
    <row r="148" spans="2:6" ht="15" customHeight="1" outlineLevel="2" x14ac:dyDescent="0.25">
      <c r="B148" s="504" t="s">
        <v>601</v>
      </c>
      <c r="C148" s="492">
        <v>9500</v>
      </c>
      <c r="D148" s="493" t="s">
        <v>603</v>
      </c>
      <c r="E148" s="479"/>
      <c r="F148" s="478"/>
    </row>
    <row r="149" spans="2:6" ht="15" customHeight="1" outlineLevel="2" x14ac:dyDescent="0.25">
      <c r="B149" s="504" t="s">
        <v>602</v>
      </c>
      <c r="C149" s="492">
        <v>11000</v>
      </c>
      <c r="D149" s="493" t="s">
        <v>603</v>
      </c>
      <c r="E149" s="479"/>
      <c r="F149" s="478"/>
    </row>
    <row r="150" spans="2:6" ht="15" customHeight="1" outlineLevel="2" x14ac:dyDescent="0.25">
      <c r="B150" s="500" t="s">
        <v>577</v>
      </c>
      <c r="C150" s="500"/>
      <c r="D150" s="501"/>
      <c r="E150" s="479"/>
      <c r="F150" s="478"/>
    </row>
    <row r="151" spans="2:6" ht="15" customHeight="1" outlineLevel="2" x14ac:dyDescent="0.25">
      <c r="B151" s="486" t="s">
        <v>568</v>
      </c>
      <c r="C151" s="483">
        <v>120</v>
      </c>
      <c r="D151" s="489" t="s">
        <v>570</v>
      </c>
      <c r="E151" s="479"/>
      <c r="F151" s="478"/>
    </row>
    <row r="152" spans="2:6" ht="15" customHeight="1" outlineLevel="2" x14ac:dyDescent="0.25">
      <c r="B152" s="486" t="s">
        <v>788</v>
      </c>
      <c r="C152" s="483">
        <v>120</v>
      </c>
      <c r="D152" s="489" t="s">
        <v>570</v>
      </c>
      <c r="E152" s="479"/>
      <c r="F152" s="478"/>
    </row>
    <row r="153" spans="2:6" ht="15" customHeight="1" outlineLevel="2" x14ac:dyDescent="0.25">
      <c r="B153" s="486" t="s">
        <v>569</v>
      </c>
      <c r="C153" s="483">
        <v>650</v>
      </c>
      <c r="D153" s="489" t="s">
        <v>570</v>
      </c>
      <c r="E153" s="479"/>
      <c r="F153" s="478"/>
    </row>
    <row r="154" spans="2:6" ht="15" customHeight="1" outlineLevel="2" x14ac:dyDescent="0.25">
      <c r="B154" s="486" t="s">
        <v>581</v>
      </c>
      <c r="C154" s="483">
        <v>120</v>
      </c>
      <c r="D154" s="489" t="s">
        <v>580</v>
      </c>
      <c r="E154" s="479"/>
      <c r="F154" s="478"/>
    </row>
    <row r="155" spans="2:6" ht="15" customHeight="1" outlineLevel="2" x14ac:dyDescent="0.25">
      <c r="B155" s="486" t="s">
        <v>626</v>
      </c>
      <c r="C155" s="483">
        <v>1280.433</v>
      </c>
      <c r="D155" s="489" t="s">
        <v>580</v>
      </c>
      <c r="E155" s="479"/>
      <c r="F155" s="478"/>
    </row>
    <row r="156" spans="2:6" ht="15" customHeight="1" outlineLevel="2" x14ac:dyDescent="0.25">
      <c r="B156" s="486" t="s">
        <v>625</v>
      </c>
      <c r="C156" s="483">
        <v>2300</v>
      </c>
      <c r="D156" s="489" t="s">
        <v>627</v>
      </c>
      <c r="E156" s="479"/>
      <c r="F156" s="478"/>
    </row>
    <row r="157" spans="2:6" ht="15" customHeight="1" outlineLevel="2" x14ac:dyDescent="0.25">
      <c r="B157" s="486" t="s">
        <v>624</v>
      </c>
      <c r="C157" s="483">
        <v>4437</v>
      </c>
      <c r="D157" s="489" t="s">
        <v>627</v>
      </c>
      <c r="E157" s="479"/>
      <c r="F157" s="478"/>
    </row>
    <row r="158" spans="2:6" ht="15" customHeight="1" outlineLevel="2" x14ac:dyDescent="0.25">
      <c r="B158" s="486" t="s">
        <v>628</v>
      </c>
      <c r="C158" s="483">
        <v>500</v>
      </c>
      <c r="D158" s="489" t="s">
        <v>627</v>
      </c>
      <c r="E158" s="479"/>
      <c r="F158" s="478"/>
    </row>
    <row r="159" spans="2:6" ht="15" customHeight="1" outlineLevel="2" x14ac:dyDescent="0.25">
      <c r="B159" s="486" t="s">
        <v>629</v>
      </c>
      <c r="C159" s="483">
        <v>1200</v>
      </c>
      <c r="D159" s="489" t="s">
        <v>627</v>
      </c>
      <c r="E159" s="479"/>
      <c r="F159" s="478"/>
    </row>
    <row r="160" spans="2:6" ht="15" customHeight="1" outlineLevel="2" x14ac:dyDescent="0.25">
      <c r="B160" s="486" t="s">
        <v>630</v>
      </c>
      <c r="C160" s="483">
        <v>1500</v>
      </c>
      <c r="D160" s="489" t="s">
        <v>627</v>
      </c>
      <c r="E160" s="479"/>
      <c r="F160" s="478"/>
    </row>
    <row r="161" spans="1:7" ht="15" customHeight="1" outlineLevel="2" x14ac:dyDescent="0.25">
      <c r="B161" s="486" t="s">
        <v>631</v>
      </c>
      <c r="C161" s="483">
        <v>1750</v>
      </c>
      <c r="D161" s="489" t="s">
        <v>627</v>
      </c>
      <c r="E161" s="479"/>
      <c r="F161" s="478"/>
    </row>
    <row r="162" spans="1:7" ht="15" customHeight="1" outlineLevel="2" x14ac:dyDescent="0.25">
      <c r="B162" s="486" t="s">
        <v>789</v>
      </c>
      <c r="C162" s="483">
        <v>140</v>
      </c>
      <c r="D162" s="489" t="s">
        <v>627</v>
      </c>
      <c r="E162" s="479"/>
      <c r="F162" s="478"/>
    </row>
    <row r="163" spans="1:7" ht="15" customHeight="1" outlineLevel="2" x14ac:dyDescent="0.25">
      <c r="B163" s="486" t="s">
        <v>583</v>
      </c>
      <c r="C163" s="483">
        <v>188.46659999999997</v>
      </c>
      <c r="D163" s="489" t="s">
        <v>580</v>
      </c>
      <c r="E163" s="479"/>
      <c r="F163" s="478"/>
    </row>
    <row r="164" spans="1:7" ht="15" customHeight="1" outlineLevel="1" x14ac:dyDescent="0.25">
      <c r="B164" s="486" t="s">
        <v>584</v>
      </c>
      <c r="C164" s="483">
        <v>127.48439999999998</v>
      </c>
      <c r="D164" s="489" t="s">
        <v>580</v>
      </c>
      <c r="E164" s="479"/>
      <c r="F164" s="478"/>
    </row>
    <row r="165" spans="1:7" ht="15" customHeight="1" outlineLevel="2" x14ac:dyDescent="0.25">
      <c r="A165" s="433">
        <v>10201</v>
      </c>
      <c r="B165" s="486" t="s">
        <v>585</v>
      </c>
      <c r="C165" s="483">
        <v>127.48439999999998</v>
      </c>
      <c r="D165" s="489" t="s">
        <v>580</v>
      </c>
      <c r="E165" s="479"/>
      <c r="F165" s="478"/>
      <c r="G165" s="478"/>
    </row>
    <row r="166" spans="1:7" ht="15" customHeight="1" outlineLevel="2" x14ac:dyDescent="0.25">
      <c r="A166" s="433">
        <v>10204</v>
      </c>
      <c r="B166" s="486" t="s">
        <v>582</v>
      </c>
      <c r="C166" s="483">
        <v>336.36</v>
      </c>
      <c r="D166" s="489" t="s">
        <v>580</v>
      </c>
      <c r="E166" s="479"/>
      <c r="F166" s="478"/>
      <c r="G166" s="478"/>
    </row>
    <row r="167" spans="1:7" outlineLevel="2" x14ac:dyDescent="0.25">
      <c r="A167" s="433">
        <v>10214</v>
      </c>
      <c r="B167" s="486" t="s">
        <v>370</v>
      </c>
      <c r="C167" s="483">
        <v>29735.315399999999</v>
      </c>
      <c r="D167" s="489" t="s">
        <v>580</v>
      </c>
      <c r="E167" s="479"/>
      <c r="F167" s="478"/>
      <c r="G167" s="478"/>
    </row>
    <row r="168" spans="1:7" outlineLevel="2" x14ac:dyDescent="0.25">
      <c r="A168" s="433">
        <v>10215</v>
      </c>
      <c r="B168" s="486" t="s">
        <v>382</v>
      </c>
      <c r="C168" s="483">
        <v>16690</v>
      </c>
      <c r="D168" s="489" t="s">
        <v>580</v>
      </c>
      <c r="E168" s="479"/>
      <c r="F168" s="478"/>
      <c r="G168" s="478"/>
    </row>
    <row r="169" spans="1:7" outlineLevel="2" x14ac:dyDescent="0.25">
      <c r="A169" s="433">
        <v>10216</v>
      </c>
      <c r="B169" s="486" t="s">
        <v>579</v>
      </c>
      <c r="C169" s="483">
        <v>19490</v>
      </c>
      <c r="D169" s="489" t="s">
        <v>580</v>
      </c>
      <c r="E169" s="479"/>
      <c r="F169" s="478"/>
      <c r="G169" s="478"/>
    </row>
    <row r="170" spans="1:7" outlineLevel="2" x14ac:dyDescent="0.25">
      <c r="A170" s="433">
        <v>10218</v>
      </c>
      <c r="B170" s="500" t="s">
        <v>606</v>
      </c>
      <c r="C170" s="500"/>
      <c r="D170" s="501"/>
      <c r="E170" s="479"/>
      <c r="F170" s="478"/>
      <c r="G170" s="478"/>
    </row>
    <row r="171" spans="1:7" outlineLevel="2" x14ac:dyDescent="0.25">
      <c r="A171" s="433">
        <v>10219</v>
      </c>
      <c r="B171" s="485" t="s">
        <v>391</v>
      </c>
      <c r="C171" s="483">
        <v>39190</v>
      </c>
      <c r="D171" s="485" t="s">
        <v>504</v>
      </c>
      <c r="E171" s="479"/>
      <c r="F171" s="478"/>
      <c r="G171" s="478"/>
    </row>
    <row r="172" spans="1:7" outlineLevel="2" x14ac:dyDescent="0.25">
      <c r="A172" s="433">
        <v>10220</v>
      </c>
      <c r="B172" s="485" t="s">
        <v>394</v>
      </c>
      <c r="C172" s="483">
        <v>125000</v>
      </c>
      <c r="D172" s="485" t="s">
        <v>504</v>
      </c>
      <c r="E172" s="479"/>
      <c r="F172" s="478"/>
      <c r="G172" s="478"/>
    </row>
    <row r="173" spans="1:7" outlineLevel="2" x14ac:dyDescent="0.25">
      <c r="A173" s="433">
        <v>10221</v>
      </c>
      <c r="B173" s="485" t="s">
        <v>535</v>
      </c>
      <c r="C173" s="483">
        <v>2544.63</v>
      </c>
      <c r="D173" s="485" t="s">
        <v>504</v>
      </c>
      <c r="E173" s="479"/>
      <c r="F173" s="478"/>
      <c r="G173" s="478"/>
    </row>
    <row r="174" spans="1:7" outlineLevel="2" x14ac:dyDescent="0.25">
      <c r="A174" s="433">
        <v>10222</v>
      </c>
      <c r="B174" s="485" t="s">
        <v>536</v>
      </c>
      <c r="C174" s="483">
        <v>8000</v>
      </c>
      <c r="D174" s="485" t="s">
        <v>504</v>
      </c>
      <c r="E174" s="479"/>
      <c r="F174" s="478"/>
      <c r="G174" s="478"/>
    </row>
    <row r="175" spans="1:7" outlineLevel="2" x14ac:dyDescent="0.25">
      <c r="A175" s="433">
        <v>10226</v>
      </c>
      <c r="B175" s="485" t="s">
        <v>402</v>
      </c>
      <c r="C175" s="483">
        <v>18000</v>
      </c>
      <c r="D175" s="485" t="s">
        <v>504</v>
      </c>
      <c r="E175" s="479"/>
      <c r="F175" s="478"/>
      <c r="G175" s="478"/>
    </row>
    <row r="176" spans="1:7" outlineLevel="2" x14ac:dyDescent="0.25">
      <c r="A176" s="433">
        <v>10228</v>
      </c>
      <c r="B176" s="485" t="s">
        <v>404</v>
      </c>
      <c r="C176" s="483">
        <v>68000</v>
      </c>
      <c r="D176" s="485" t="s">
        <v>504</v>
      </c>
      <c r="E176" s="479"/>
      <c r="F176" s="478"/>
      <c r="G176" s="478"/>
    </row>
    <row r="177" spans="1:7" outlineLevel="2" x14ac:dyDescent="0.25">
      <c r="A177" s="433">
        <v>10232</v>
      </c>
      <c r="B177" s="485" t="s">
        <v>537</v>
      </c>
      <c r="C177" s="483">
        <v>73000</v>
      </c>
      <c r="D177" s="485" t="s">
        <v>504</v>
      </c>
      <c r="E177" s="479"/>
      <c r="F177" s="478"/>
      <c r="G177" s="478"/>
    </row>
    <row r="178" spans="1:7" outlineLevel="2" x14ac:dyDescent="0.25">
      <c r="A178" s="433">
        <v>10234</v>
      </c>
      <c r="B178" s="485" t="s">
        <v>538</v>
      </c>
      <c r="C178" s="483">
        <v>30000</v>
      </c>
      <c r="D178" s="485" t="s">
        <v>504</v>
      </c>
      <c r="E178" s="479"/>
      <c r="F178" s="478"/>
      <c r="G178" s="478"/>
    </row>
    <row r="179" spans="1:7" outlineLevel="2" x14ac:dyDescent="0.25">
      <c r="A179" s="433">
        <v>10235</v>
      </c>
      <c r="B179" s="485" t="s">
        <v>539</v>
      </c>
      <c r="C179" s="483">
        <v>56000</v>
      </c>
      <c r="D179" s="485" t="s">
        <v>504</v>
      </c>
      <c r="E179" s="479"/>
      <c r="F179" s="478"/>
      <c r="G179" s="478"/>
    </row>
    <row r="180" spans="1:7" outlineLevel="2" x14ac:dyDescent="0.25">
      <c r="A180" s="433">
        <v>10236</v>
      </c>
      <c r="B180" s="485" t="s">
        <v>540</v>
      </c>
      <c r="C180" s="483">
        <v>61000</v>
      </c>
      <c r="D180" s="485" t="s">
        <v>504</v>
      </c>
      <c r="E180" s="479"/>
      <c r="F180" s="478"/>
      <c r="G180" s="478"/>
    </row>
    <row r="181" spans="1:7" outlineLevel="2" x14ac:dyDescent="0.25">
      <c r="A181" s="433">
        <v>10239</v>
      </c>
      <c r="B181" s="485" t="s">
        <v>405</v>
      </c>
      <c r="C181" s="483">
        <v>75000</v>
      </c>
      <c r="D181" s="485" t="s">
        <v>504</v>
      </c>
      <c r="E181" s="479"/>
      <c r="F181" s="478"/>
      <c r="G181" s="478"/>
    </row>
    <row r="182" spans="1:7" outlineLevel="2" x14ac:dyDescent="0.25">
      <c r="A182" s="433">
        <v>10240</v>
      </c>
      <c r="B182" s="485" t="s">
        <v>605</v>
      </c>
      <c r="C182" s="483">
        <v>87000</v>
      </c>
      <c r="D182" s="485" t="s">
        <v>504</v>
      </c>
      <c r="E182" s="479"/>
      <c r="F182" s="478"/>
      <c r="G182" s="478"/>
    </row>
    <row r="183" spans="1:7" outlineLevel="2" x14ac:dyDescent="0.25">
      <c r="A183" s="433">
        <v>10244</v>
      </c>
      <c r="B183" s="485" t="s">
        <v>541</v>
      </c>
      <c r="C183" s="483">
        <v>2291.1999999999998</v>
      </c>
      <c r="D183" s="485" t="s">
        <v>504</v>
      </c>
      <c r="E183" s="479"/>
      <c r="F183" s="478"/>
      <c r="G183" s="478"/>
    </row>
    <row r="184" spans="1:7" outlineLevel="2" x14ac:dyDescent="0.25">
      <c r="A184" s="433">
        <v>10245</v>
      </c>
      <c r="B184" s="485" t="s">
        <v>542</v>
      </c>
      <c r="C184" s="483">
        <v>1907.2</v>
      </c>
      <c r="D184" s="485" t="s">
        <v>504</v>
      </c>
      <c r="E184" s="479"/>
      <c r="F184" s="478"/>
      <c r="G184" s="478"/>
    </row>
    <row r="185" spans="1:7" outlineLevel="1" x14ac:dyDescent="0.25">
      <c r="B185" s="485" t="s">
        <v>398</v>
      </c>
      <c r="C185" s="483">
        <v>12915.2</v>
      </c>
      <c r="D185" s="485" t="s">
        <v>504</v>
      </c>
      <c r="E185" s="479"/>
      <c r="F185" s="478"/>
      <c r="G185" s="478"/>
    </row>
    <row r="186" spans="1:7" outlineLevel="2" x14ac:dyDescent="0.25">
      <c r="A186" s="433">
        <v>10246</v>
      </c>
      <c r="B186" s="485" t="s">
        <v>543</v>
      </c>
      <c r="C186" s="483">
        <v>12403.2</v>
      </c>
      <c r="D186" s="485" t="s">
        <v>504</v>
      </c>
      <c r="E186" s="479"/>
      <c r="F186" s="478"/>
      <c r="G186" s="478"/>
    </row>
    <row r="187" spans="1:7" outlineLevel="2" x14ac:dyDescent="0.25">
      <c r="A187" s="433">
        <v>10247</v>
      </c>
      <c r="B187" s="485" t="s">
        <v>544</v>
      </c>
      <c r="C187" s="483">
        <v>15603.2</v>
      </c>
      <c r="D187" s="485" t="s">
        <v>504</v>
      </c>
      <c r="E187" s="479"/>
      <c r="F187" s="478"/>
      <c r="G187" s="478"/>
    </row>
    <row r="188" spans="1:7" outlineLevel="2" x14ac:dyDescent="0.25">
      <c r="A188" s="433">
        <v>10248</v>
      </c>
      <c r="B188" s="485" t="s">
        <v>545</v>
      </c>
      <c r="C188" s="483">
        <v>4339.2</v>
      </c>
      <c r="D188" s="485" t="s">
        <v>504</v>
      </c>
      <c r="E188" s="479"/>
      <c r="F188" s="478"/>
      <c r="G188" s="478"/>
    </row>
    <row r="189" spans="1:7" outlineLevel="2" x14ac:dyDescent="0.25">
      <c r="A189" s="433">
        <v>10249</v>
      </c>
      <c r="B189" s="485" t="s">
        <v>410</v>
      </c>
      <c r="C189" s="483">
        <v>6290</v>
      </c>
      <c r="D189" s="485" t="s">
        <v>504</v>
      </c>
      <c r="E189" s="479"/>
      <c r="F189" s="478"/>
      <c r="G189" s="478"/>
    </row>
    <row r="190" spans="1:7" x14ac:dyDescent="0.25">
      <c r="B190" s="485" t="s">
        <v>546</v>
      </c>
      <c r="C190" s="483">
        <v>6190</v>
      </c>
      <c r="D190" s="485" t="s">
        <v>504</v>
      </c>
    </row>
    <row r="191" spans="1:7" x14ac:dyDescent="0.25">
      <c r="B191" s="500" t="s">
        <v>578</v>
      </c>
      <c r="C191" s="500"/>
      <c r="D191" s="501"/>
    </row>
    <row r="192" spans="1:7" x14ac:dyDescent="0.25">
      <c r="B192" s="485" t="s">
        <v>443</v>
      </c>
      <c r="C192" s="483">
        <v>140.80000000000001</v>
      </c>
      <c r="D192" s="490" t="s">
        <v>505</v>
      </c>
    </row>
    <row r="193" spans="2:4" x14ac:dyDescent="0.25">
      <c r="B193" s="485" t="s">
        <v>442</v>
      </c>
      <c r="C193" s="483">
        <v>185.6</v>
      </c>
      <c r="D193" s="490" t="s">
        <v>505</v>
      </c>
    </row>
    <row r="194" spans="2:4" x14ac:dyDescent="0.25">
      <c r="B194" s="485" t="s">
        <v>446</v>
      </c>
      <c r="C194" s="483">
        <v>704</v>
      </c>
      <c r="D194" s="490" t="s">
        <v>505</v>
      </c>
    </row>
    <row r="195" spans="2:4" x14ac:dyDescent="0.25">
      <c r="B195" s="485" t="s">
        <v>447</v>
      </c>
      <c r="C195" s="483">
        <v>691.2</v>
      </c>
      <c r="D195" s="490" t="s">
        <v>505</v>
      </c>
    </row>
    <row r="196" spans="2:4" x14ac:dyDescent="0.25">
      <c r="B196" s="500" t="s">
        <v>769</v>
      </c>
      <c r="C196" s="500"/>
      <c r="D196" s="501"/>
    </row>
    <row r="197" spans="2:4" x14ac:dyDescent="0.25">
      <c r="B197" s="506" t="s">
        <v>632</v>
      </c>
      <c r="C197" s="507">
        <v>20200</v>
      </c>
      <c r="D197" s="505" t="s">
        <v>439</v>
      </c>
    </row>
    <row r="198" spans="2:4" x14ac:dyDescent="0.25">
      <c r="B198" s="506" t="s">
        <v>633</v>
      </c>
      <c r="C198" s="507">
        <v>20200</v>
      </c>
      <c r="D198" s="505" t="s">
        <v>439</v>
      </c>
    </row>
    <row r="199" spans="2:4" x14ac:dyDescent="0.25">
      <c r="B199" s="506" t="s">
        <v>634</v>
      </c>
      <c r="C199" s="507">
        <v>20200</v>
      </c>
      <c r="D199" s="505" t="s">
        <v>439</v>
      </c>
    </row>
    <row r="200" spans="2:4" x14ac:dyDescent="0.25">
      <c r="B200" s="506" t="s">
        <v>635</v>
      </c>
      <c r="C200" s="507">
        <v>26800</v>
      </c>
      <c r="D200" s="505" t="s">
        <v>439</v>
      </c>
    </row>
    <row r="201" spans="2:4" x14ac:dyDescent="0.25">
      <c r="B201" s="506" t="s">
        <v>636</v>
      </c>
      <c r="C201" s="507">
        <v>32000</v>
      </c>
      <c r="D201" s="505" t="s">
        <v>439</v>
      </c>
    </row>
    <row r="202" spans="2:4" x14ac:dyDescent="0.25">
      <c r="B202" s="506" t="s">
        <v>637</v>
      </c>
      <c r="C202" s="507">
        <v>35300</v>
      </c>
      <c r="D202" s="505" t="s">
        <v>439</v>
      </c>
    </row>
    <row r="203" spans="2:4" x14ac:dyDescent="0.25">
      <c r="B203" s="506" t="s">
        <v>638</v>
      </c>
      <c r="C203" s="507">
        <v>32000</v>
      </c>
      <c r="D203" s="505" t="s">
        <v>439</v>
      </c>
    </row>
    <row r="204" spans="2:4" x14ac:dyDescent="0.25">
      <c r="B204" s="506" t="s">
        <v>639</v>
      </c>
      <c r="C204" s="507">
        <v>48900</v>
      </c>
      <c r="D204" s="505" t="s">
        <v>439</v>
      </c>
    </row>
    <row r="205" spans="2:4" x14ac:dyDescent="0.25">
      <c r="B205" s="506" t="s">
        <v>640</v>
      </c>
      <c r="C205" s="507">
        <v>29100</v>
      </c>
      <c r="D205" s="505" t="s">
        <v>439</v>
      </c>
    </row>
    <row r="206" spans="2:4" x14ac:dyDescent="0.25">
      <c r="B206" s="508" t="s">
        <v>641</v>
      </c>
      <c r="C206" s="507">
        <v>31500</v>
      </c>
      <c r="D206" s="505" t="s">
        <v>439</v>
      </c>
    </row>
    <row r="207" spans="2:4" x14ac:dyDescent="0.25">
      <c r="B207" s="508" t="s">
        <v>642</v>
      </c>
      <c r="C207" s="507">
        <v>40500</v>
      </c>
      <c r="D207" s="505" t="s">
        <v>439</v>
      </c>
    </row>
    <row r="208" spans="2:4" x14ac:dyDescent="0.25">
      <c r="B208" s="506" t="s">
        <v>643</v>
      </c>
      <c r="C208" s="507">
        <v>77800</v>
      </c>
      <c r="D208" s="505" t="s">
        <v>439</v>
      </c>
    </row>
    <row r="209" spans="2:4" x14ac:dyDescent="0.25">
      <c r="B209" s="506" t="s">
        <v>644</v>
      </c>
      <c r="C209" s="507">
        <v>79000</v>
      </c>
      <c r="D209" s="505" t="s">
        <v>439</v>
      </c>
    </row>
    <row r="210" spans="2:4" x14ac:dyDescent="0.25">
      <c r="B210" s="506" t="s">
        <v>645</v>
      </c>
      <c r="C210" s="507">
        <v>100000</v>
      </c>
      <c r="D210" s="505" t="s">
        <v>439</v>
      </c>
    </row>
    <row r="211" spans="2:4" x14ac:dyDescent="0.25">
      <c r="B211" s="506" t="s">
        <v>646</v>
      </c>
      <c r="C211" s="507">
        <v>32800</v>
      </c>
      <c r="D211" s="505" t="s">
        <v>439</v>
      </c>
    </row>
    <row r="212" spans="2:4" x14ac:dyDescent="0.25">
      <c r="B212" s="506" t="s">
        <v>647</v>
      </c>
      <c r="C212" s="507">
        <v>38000</v>
      </c>
      <c r="D212" s="505" t="s">
        <v>439</v>
      </c>
    </row>
    <row r="213" spans="2:4" x14ac:dyDescent="0.25">
      <c r="B213" s="506" t="s">
        <v>648</v>
      </c>
      <c r="C213" s="507">
        <v>67600</v>
      </c>
      <c r="D213" s="505" t="s">
        <v>439</v>
      </c>
    </row>
    <row r="214" spans="2:4" x14ac:dyDescent="0.25">
      <c r="B214" s="506" t="s">
        <v>649</v>
      </c>
      <c r="C214" s="507">
        <v>98800</v>
      </c>
      <c r="D214" s="505" t="s">
        <v>439</v>
      </c>
    </row>
    <row r="215" spans="2:4" x14ac:dyDescent="0.25">
      <c r="B215" s="506" t="s">
        <v>650</v>
      </c>
      <c r="C215" s="507">
        <v>188500</v>
      </c>
      <c r="D215" s="505" t="s">
        <v>439</v>
      </c>
    </row>
    <row r="216" spans="2:4" x14ac:dyDescent="0.25">
      <c r="B216" s="506" t="s">
        <v>651</v>
      </c>
      <c r="C216" s="507">
        <v>6000</v>
      </c>
      <c r="D216" s="505" t="s">
        <v>439</v>
      </c>
    </row>
    <row r="217" spans="2:4" x14ac:dyDescent="0.25">
      <c r="B217" s="506" t="s">
        <v>652</v>
      </c>
      <c r="C217" s="507">
        <v>6000</v>
      </c>
      <c r="D217" s="505" t="s">
        <v>439</v>
      </c>
    </row>
    <row r="218" spans="2:4" x14ac:dyDescent="0.25">
      <c r="B218" s="506" t="s">
        <v>653</v>
      </c>
      <c r="C218" s="507">
        <v>5700</v>
      </c>
      <c r="D218" s="505" t="s">
        <v>439</v>
      </c>
    </row>
    <row r="219" spans="2:4" x14ac:dyDescent="0.25">
      <c r="B219" s="506" t="s">
        <v>654</v>
      </c>
      <c r="C219" s="507">
        <v>5700</v>
      </c>
      <c r="D219" s="505" t="s">
        <v>439</v>
      </c>
    </row>
    <row r="220" spans="2:4" x14ac:dyDescent="0.25">
      <c r="B220" s="506" t="s">
        <v>655</v>
      </c>
      <c r="C220" s="507">
        <v>8200</v>
      </c>
      <c r="D220" s="505" t="s">
        <v>439</v>
      </c>
    </row>
    <row r="221" spans="2:4" x14ac:dyDescent="0.25">
      <c r="B221" s="506" t="s">
        <v>656</v>
      </c>
      <c r="C221" s="507">
        <v>8200</v>
      </c>
      <c r="D221" s="505" t="s">
        <v>439</v>
      </c>
    </row>
    <row r="222" spans="2:4" x14ac:dyDescent="0.25">
      <c r="B222" s="506" t="s">
        <v>657</v>
      </c>
      <c r="C222" s="507">
        <v>6450</v>
      </c>
      <c r="D222" s="505" t="s">
        <v>439</v>
      </c>
    </row>
    <row r="223" spans="2:4" x14ac:dyDescent="0.25">
      <c r="B223" s="506" t="s">
        <v>658</v>
      </c>
      <c r="C223" s="507">
        <v>6450</v>
      </c>
      <c r="D223" s="505" t="s">
        <v>439</v>
      </c>
    </row>
    <row r="224" spans="2:4" x14ac:dyDescent="0.25">
      <c r="B224" s="506" t="s">
        <v>659</v>
      </c>
      <c r="C224" s="507">
        <v>6000</v>
      </c>
      <c r="D224" s="505" t="s">
        <v>439</v>
      </c>
    </row>
    <row r="225" spans="2:4" x14ac:dyDescent="0.25">
      <c r="B225" s="506" t="s">
        <v>660</v>
      </c>
      <c r="C225" s="507">
        <v>5700</v>
      </c>
      <c r="D225" s="505" t="s">
        <v>439</v>
      </c>
    </row>
    <row r="226" spans="2:4" x14ac:dyDescent="0.25">
      <c r="B226" s="506" t="s">
        <v>661</v>
      </c>
      <c r="C226" s="507">
        <v>6000</v>
      </c>
      <c r="D226" s="505" t="s">
        <v>439</v>
      </c>
    </row>
    <row r="227" spans="2:4" x14ac:dyDescent="0.25">
      <c r="B227" s="506" t="s">
        <v>662</v>
      </c>
      <c r="C227" s="507">
        <v>5700</v>
      </c>
      <c r="D227" s="505" t="s">
        <v>439</v>
      </c>
    </row>
    <row r="228" spans="2:4" x14ac:dyDescent="0.25">
      <c r="B228" s="506" t="s">
        <v>663</v>
      </c>
      <c r="C228" s="507">
        <v>6450</v>
      </c>
      <c r="D228" s="505" t="s">
        <v>439</v>
      </c>
    </row>
    <row r="229" spans="2:4" x14ac:dyDescent="0.25">
      <c r="B229" s="506" t="s">
        <v>664</v>
      </c>
      <c r="C229" s="507">
        <v>9400</v>
      </c>
      <c r="D229" s="505" t="s">
        <v>439</v>
      </c>
    </row>
    <row r="230" spans="2:4" x14ac:dyDescent="0.25">
      <c r="B230" s="506" t="s">
        <v>665</v>
      </c>
      <c r="C230" s="507">
        <v>9400</v>
      </c>
      <c r="D230" s="505" t="s">
        <v>439</v>
      </c>
    </row>
    <row r="231" spans="2:4" x14ac:dyDescent="0.25">
      <c r="B231" s="506" t="s">
        <v>666</v>
      </c>
      <c r="C231" s="507">
        <v>9400</v>
      </c>
      <c r="D231" s="505" t="s">
        <v>439</v>
      </c>
    </row>
    <row r="232" spans="2:4" x14ac:dyDescent="0.25">
      <c r="B232" s="506" t="s">
        <v>667</v>
      </c>
      <c r="C232" s="507">
        <v>8000</v>
      </c>
      <c r="D232" s="505" t="s">
        <v>439</v>
      </c>
    </row>
    <row r="233" spans="2:4" x14ac:dyDescent="0.25">
      <c r="B233" s="506" t="s">
        <v>668</v>
      </c>
      <c r="C233" s="507">
        <v>8000</v>
      </c>
      <c r="D233" s="505" t="s">
        <v>439</v>
      </c>
    </row>
    <row r="234" spans="2:4" x14ac:dyDescent="0.25">
      <c r="B234" s="506" t="s">
        <v>669</v>
      </c>
      <c r="C234" s="507">
        <v>7800</v>
      </c>
      <c r="D234" s="505" t="s">
        <v>439</v>
      </c>
    </row>
    <row r="235" spans="2:4" x14ac:dyDescent="0.25">
      <c r="B235" s="506" t="s">
        <v>670</v>
      </c>
      <c r="C235" s="507">
        <v>8000</v>
      </c>
      <c r="D235" s="505" t="s">
        <v>439</v>
      </c>
    </row>
    <row r="236" spans="2:4" x14ac:dyDescent="0.25">
      <c r="B236" s="506" t="s">
        <v>671</v>
      </c>
      <c r="C236" s="507">
        <v>8300</v>
      </c>
      <c r="D236" s="505" t="s">
        <v>439</v>
      </c>
    </row>
    <row r="237" spans="2:4" x14ac:dyDescent="0.25">
      <c r="B237" s="506" t="s">
        <v>672</v>
      </c>
      <c r="C237" s="507">
        <v>8300</v>
      </c>
      <c r="D237" s="505" t="s">
        <v>439</v>
      </c>
    </row>
    <row r="238" spans="2:4" x14ac:dyDescent="0.25">
      <c r="B238" s="506" t="s">
        <v>673</v>
      </c>
      <c r="C238" s="507">
        <v>7800</v>
      </c>
      <c r="D238" s="505" t="s">
        <v>439</v>
      </c>
    </row>
    <row r="239" spans="2:4" x14ac:dyDescent="0.25">
      <c r="B239" s="506" t="s">
        <v>674</v>
      </c>
      <c r="C239" s="507">
        <v>7800</v>
      </c>
      <c r="D239" s="505" t="s">
        <v>439</v>
      </c>
    </row>
    <row r="240" spans="2:4" x14ac:dyDescent="0.25">
      <c r="B240" s="506" t="s">
        <v>675</v>
      </c>
      <c r="C240" s="507">
        <v>8500</v>
      </c>
      <c r="D240" s="505" t="s">
        <v>439</v>
      </c>
    </row>
    <row r="241" spans="2:4" x14ac:dyDescent="0.25">
      <c r="B241" s="506" t="s">
        <v>676</v>
      </c>
      <c r="C241" s="507">
        <v>12300</v>
      </c>
      <c r="D241" s="505" t="s">
        <v>439</v>
      </c>
    </row>
    <row r="242" spans="2:4" x14ac:dyDescent="0.25">
      <c r="B242" s="509" t="s">
        <v>677</v>
      </c>
      <c r="C242" s="507">
        <v>9500</v>
      </c>
      <c r="D242" s="505" t="s">
        <v>439</v>
      </c>
    </row>
    <row r="243" spans="2:4" x14ac:dyDescent="0.25">
      <c r="B243" s="509" t="s">
        <v>678</v>
      </c>
      <c r="C243" s="507">
        <v>10700</v>
      </c>
      <c r="D243" s="505" t="s">
        <v>439</v>
      </c>
    </row>
    <row r="244" spans="2:4" x14ac:dyDescent="0.25">
      <c r="B244" s="506" t="s">
        <v>679</v>
      </c>
      <c r="C244" s="507">
        <v>12300</v>
      </c>
      <c r="D244" s="505" t="s">
        <v>439</v>
      </c>
    </row>
    <row r="245" spans="2:4" x14ac:dyDescent="0.25">
      <c r="B245" s="509" t="s">
        <v>680</v>
      </c>
      <c r="C245" s="507">
        <v>10000</v>
      </c>
      <c r="D245" s="505" t="s">
        <v>439</v>
      </c>
    </row>
    <row r="246" spans="2:4" x14ac:dyDescent="0.25">
      <c r="B246" s="509" t="s">
        <v>681</v>
      </c>
      <c r="C246" s="507">
        <v>13000</v>
      </c>
      <c r="D246" s="505" t="s">
        <v>439</v>
      </c>
    </row>
    <row r="247" spans="2:4" x14ac:dyDescent="0.25">
      <c r="B247" s="506" t="s">
        <v>682</v>
      </c>
      <c r="C247" s="507">
        <v>15600</v>
      </c>
      <c r="D247" s="505" t="s">
        <v>439</v>
      </c>
    </row>
    <row r="248" spans="2:4" x14ac:dyDescent="0.25">
      <c r="B248" s="510" t="s">
        <v>770</v>
      </c>
      <c r="C248" s="510"/>
      <c r="D248" s="511"/>
    </row>
    <row r="249" spans="2:4" x14ac:dyDescent="0.25">
      <c r="B249" s="506" t="s">
        <v>683</v>
      </c>
      <c r="C249" s="507">
        <v>48300</v>
      </c>
      <c r="D249" s="505" t="s">
        <v>439</v>
      </c>
    </row>
    <row r="250" spans="2:4" x14ac:dyDescent="0.25">
      <c r="B250" s="506" t="s">
        <v>684</v>
      </c>
      <c r="C250" s="507">
        <v>31000</v>
      </c>
      <c r="D250" s="505" t="s">
        <v>439</v>
      </c>
    </row>
    <row r="251" spans="2:4" x14ac:dyDescent="0.25">
      <c r="B251" s="506" t="s">
        <v>685</v>
      </c>
      <c r="C251" s="507">
        <v>32800</v>
      </c>
      <c r="D251" s="505" t="s">
        <v>439</v>
      </c>
    </row>
    <row r="252" spans="2:4" x14ac:dyDescent="0.25">
      <c r="B252" s="506" t="s">
        <v>686</v>
      </c>
      <c r="C252" s="507">
        <v>37200</v>
      </c>
      <c r="D252" s="505" t="s">
        <v>439</v>
      </c>
    </row>
    <row r="253" spans="2:4" x14ac:dyDescent="0.25">
      <c r="B253" s="506" t="s">
        <v>687</v>
      </c>
      <c r="C253" s="507">
        <v>37200</v>
      </c>
      <c r="D253" s="505" t="s">
        <v>439</v>
      </c>
    </row>
    <row r="254" spans="2:4" x14ac:dyDescent="0.25">
      <c r="B254" s="506" t="s">
        <v>688</v>
      </c>
      <c r="C254" s="507">
        <v>41400</v>
      </c>
      <c r="D254" s="505" t="s">
        <v>439</v>
      </c>
    </row>
    <row r="255" spans="2:4" x14ac:dyDescent="0.25">
      <c r="B255" s="506" t="s">
        <v>689</v>
      </c>
      <c r="C255" s="507">
        <v>41400</v>
      </c>
      <c r="D255" s="505" t="s">
        <v>439</v>
      </c>
    </row>
    <row r="256" spans="2:4" x14ac:dyDescent="0.25">
      <c r="B256" s="506" t="s">
        <v>690</v>
      </c>
      <c r="C256" s="507">
        <v>41400</v>
      </c>
      <c r="D256" s="505" t="s">
        <v>439</v>
      </c>
    </row>
    <row r="257" spans="2:4" x14ac:dyDescent="0.25">
      <c r="B257" s="506" t="s">
        <v>691</v>
      </c>
      <c r="C257" s="507">
        <v>19400</v>
      </c>
      <c r="D257" s="505" t="s">
        <v>439</v>
      </c>
    </row>
    <row r="258" spans="2:4" x14ac:dyDescent="0.25">
      <c r="B258" s="506" t="s">
        <v>692</v>
      </c>
      <c r="C258" s="507">
        <v>47700</v>
      </c>
      <c r="D258" s="505" t="s">
        <v>439</v>
      </c>
    </row>
    <row r="259" spans="2:4" x14ac:dyDescent="0.25">
      <c r="B259" s="506" t="s">
        <v>693</v>
      </c>
      <c r="C259" s="507">
        <v>47700</v>
      </c>
      <c r="D259" s="505" t="s">
        <v>439</v>
      </c>
    </row>
    <row r="260" spans="2:4" x14ac:dyDescent="0.25">
      <c r="B260" s="506" t="s">
        <v>694</v>
      </c>
      <c r="C260" s="507">
        <v>9700</v>
      </c>
      <c r="D260" s="505" t="s">
        <v>439</v>
      </c>
    </row>
    <row r="261" spans="2:4" x14ac:dyDescent="0.25">
      <c r="B261" s="506" t="s">
        <v>695</v>
      </c>
      <c r="C261" s="507">
        <v>9700</v>
      </c>
      <c r="D261" s="505" t="s">
        <v>439</v>
      </c>
    </row>
    <row r="262" spans="2:4" x14ac:dyDescent="0.25">
      <c r="B262" s="506" t="s">
        <v>696</v>
      </c>
      <c r="C262" s="507">
        <v>13300</v>
      </c>
      <c r="D262" s="505" t="s">
        <v>439</v>
      </c>
    </row>
    <row r="263" spans="2:4" x14ac:dyDescent="0.25">
      <c r="B263" s="506" t="s">
        <v>697</v>
      </c>
      <c r="C263" s="507">
        <v>13300</v>
      </c>
      <c r="D263" s="505" t="s">
        <v>439</v>
      </c>
    </row>
    <row r="264" spans="2:4" x14ac:dyDescent="0.25">
      <c r="B264" s="506" t="s">
        <v>698</v>
      </c>
      <c r="C264" s="507">
        <v>32000</v>
      </c>
      <c r="D264" s="505" t="s">
        <v>439</v>
      </c>
    </row>
    <row r="265" spans="2:4" x14ac:dyDescent="0.25">
      <c r="B265" s="506" t="s">
        <v>699</v>
      </c>
      <c r="C265" s="507">
        <v>16800</v>
      </c>
      <c r="D265" s="505" t="s">
        <v>439</v>
      </c>
    </row>
    <row r="266" spans="2:4" x14ac:dyDescent="0.25">
      <c r="B266" s="506" t="s">
        <v>700</v>
      </c>
      <c r="C266" s="507">
        <v>27000</v>
      </c>
      <c r="D266" s="505" t="s">
        <v>439</v>
      </c>
    </row>
    <row r="267" spans="2:4" x14ac:dyDescent="0.25">
      <c r="B267" s="506" t="s">
        <v>701</v>
      </c>
      <c r="C267" s="507">
        <v>27000</v>
      </c>
      <c r="D267" s="505" t="s">
        <v>439</v>
      </c>
    </row>
    <row r="268" spans="2:4" x14ac:dyDescent="0.25">
      <c r="B268" s="506" t="s">
        <v>702</v>
      </c>
      <c r="C268" s="507">
        <v>190000</v>
      </c>
      <c r="D268" s="505" t="s">
        <v>439</v>
      </c>
    </row>
    <row r="269" spans="2:4" x14ac:dyDescent="0.25">
      <c r="B269" s="506" t="s">
        <v>703</v>
      </c>
      <c r="C269" s="507">
        <v>190000</v>
      </c>
      <c r="D269" s="505" t="s">
        <v>439</v>
      </c>
    </row>
    <row r="270" spans="2:4" x14ac:dyDescent="0.25">
      <c r="B270" s="508" t="s">
        <v>704</v>
      </c>
      <c r="C270" s="507">
        <v>26000</v>
      </c>
      <c r="D270" s="505" t="s">
        <v>439</v>
      </c>
    </row>
    <row r="271" spans="2:4" x14ac:dyDescent="0.25">
      <c r="B271" s="506" t="s">
        <v>705</v>
      </c>
      <c r="C271" s="507">
        <v>273200</v>
      </c>
      <c r="D271" s="505" t="s">
        <v>439</v>
      </c>
    </row>
    <row r="272" spans="2:4" x14ac:dyDescent="0.25">
      <c r="B272" s="506" t="s">
        <v>706</v>
      </c>
      <c r="C272" s="512">
        <v>132000</v>
      </c>
      <c r="D272" s="505" t="s">
        <v>439</v>
      </c>
    </row>
    <row r="273" spans="2:4" x14ac:dyDescent="0.25">
      <c r="B273" s="510" t="s">
        <v>771</v>
      </c>
      <c r="C273" s="510"/>
      <c r="D273" s="511"/>
    </row>
    <row r="274" spans="2:4" x14ac:dyDescent="0.25">
      <c r="B274" s="509" t="s">
        <v>707</v>
      </c>
      <c r="C274" s="507">
        <v>2500</v>
      </c>
      <c r="D274" s="505" t="s">
        <v>439</v>
      </c>
    </row>
    <row r="275" spans="2:4" x14ac:dyDescent="0.25">
      <c r="B275" s="509" t="s">
        <v>708</v>
      </c>
      <c r="C275" s="507">
        <v>8100</v>
      </c>
      <c r="D275" s="505" t="s">
        <v>439</v>
      </c>
    </row>
    <row r="276" spans="2:4" x14ac:dyDescent="0.25">
      <c r="B276" s="509" t="s">
        <v>709</v>
      </c>
      <c r="C276" s="507">
        <v>8100</v>
      </c>
      <c r="D276" s="505" t="s">
        <v>439</v>
      </c>
    </row>
    <row r="277" spans="2:4" x14ac:dyDescent="0.25">
      <c r="B277" s="506" t="s">
        <v>710</v>
      </c>
      <c r="C277" s="507">
        <v>8600</v>
      </c>
      <c r="D277" s="505" t="s">
        <v>439</v>
      </c>
    </row>
    <row r="278" spans="2:4" x14ac:dyDescent="0.25">
      <c r="B278" s="506" t="s">
        <v>711</v>
      </c>
      <c r="C278" s="507">
        <v>8600</v>
      </c>
      <c r="D278" s="505" t="s">
        <v>439</v>
      </c>
    </row>
    <row r="279" spans="2:4" x14ac:dyDescent="0.25">
      <c r="B279" s="509" t="s">
        <v>712</v>
      </c>
      <c r="C279" s="507">
        <v>9900</v>
      </c>
      <c r="D279" s="505" t="s">
        <v>439</v>
      </c>
    </row>
    <row r="280" spans="2:4" x14ac:dyDescent="0.25">
      <c r="B280" s="506" t="s">
        <v>713</v>
      </c>
      <c r="C280" s="507">
        <v>8600</v>
      </c>
      <c r="D280" s="505" t="s">
        <v>439</v>
      </c>
    </row>
    <row r="281" spans="2:4" x14ac:dyDescent="0.25">
      <c r="B281" s="506" t="s">
        <v>714</v>
      </c>
      <c r="C281" s="507">
        <v>7600</v>
      </c>
      <c r="D281" s="505" t="s">
        <v>439</v>
      </c>
    </row>
    <row r="282" spans="2:4" x14ac:dyDescent="0.25">
      <c r="B282" s="506" t="s">
        <v>715</v>
      </c>
      <c r="C282" s="507">
        <v>7000</v>
      </c>
      <c r="D282" s="505" t="s">
        <v>439</v>
      </c>
    </row>
    <row r="283" spans="2:4" x14ac:dyDescent="0.25">
      <c r="B283" s="506" t="s">
        <v>716</v>
      </c>
      <c r="C283" s="507">
        <v>11000</v>
      </c>
      <c r="D283" s="505" t="s">
        <v>439</v>
      </c>
    </row>
    <row r="284" spans="2:4" x14ac:dyDescent="0.25">
      <c r="B284" s="506" t="s">
        <v>717</v>
      </c>
      <c r="C284" s="507">
        <v>7300</v>
      </c>
      <c r="D284" s="505" t="s">
        <v>439</v>
      </c>
    </row>
    <row r="285" spans="2:4" x14ac:dyDescent="0.25">
      <c r="B285" s="506" t="s">
        <v>718</v>
      </c>
      <c r="C285" s="507">
        <v>13300</v>
      </c>
      <c r="D285" s="505" t="s">
        <v>439</v>
      </c>
    </row>
    <row r="286" spans="2:4" x14ac:dyDescent="0.25">
      <c r="B286" s="506" t="s">
        <v>719</v>
      </c>
      <c r="C286" s="507">
        <v>4500</v>
      </c>
      <c r="D286" s="505" t="s">
        <v>439</v>
      </c>
    </row>
    <row r="287" spans="2:4" x14ac:dyDescent="0.25">
      <c r="B287" s="506" t="s">
        <v>720</v>
      </c>
      <c r="C287" s="507">
        <v>6900</v>
      </c>
      <c r="D287" s="505" t="s">
        <v>439</v>
      </c>
    </row>
    <row r="288" spans="2:4" x14ac:dyDescent="0.25">
      <c r="B288" s="506" t="s">
        <v>721</v>
      </c>
      <c r="C288" s="507">
        <v>8500</v>
      </c>
      <c r="D288" s="505" t="s">
        <v>439</v>
      </c>
    </row>
    <row r="289" spans="2:4" x14ac:dyDescent="0.25">
      <c r="B289" s="506" t="s">
        <v>722</v>
      </c>
      <c r="C289" s="507">
        <v>15700</v>
      </c>
      <c r="D289" s="505" t="s">
        <v>439</v>
      </c>
    </row>
    <row r="290" spans="2:4" x14ac:dyDescent="0.25">
      <c r="B290" s="506" t="s">
        <v>723</v>
      </c>
      <c r="C290" s="507">
        <v>7300</v>
      </c>
      <c r="D290" s="505" t="s">
        <v>439</v>
      </c>
    </row>
    <row r="291" spans="2:4" x14ac:dyDescent="0.25">
      <c r="B291" s="513" t="s">
        <v>724</v>
      </c>
      <c r="C291" s="507">
        <v>10900</v>
      </c>
      <c r="D291" s="505" t="s">
        <v>439</v>
      </c>
    </row>
    <row r="292" spans="2:4" x14ac:dyDescent="0.25">
      <c r="B292" s="513" t="s">
        <v>725</v>
      </c>
      <c r="C292" s="507">
        <v>14900</v>
      </c>
      <c r="D292" s="505" t="s">
        <v>439</v>
      </c>
    </row>
    <row r="293" spans="2:4" x14ac:dyDescent="0.25">
      <c r="B293" s="510" t="s">
        <v>772</v>
      </c>
      <c r="C293" s="510"/>
      <c r="D293" s="511"/>
    </row>
    <row r="294" spans="2:4" x14ac:dyDescent="0.25">
      <c r="B294" s="513" t="s">
        <v>726</v>
      </c>
      <c r="C294" s="507">
        <v>10300</v>
      </c>
      <c r="D294" s="505" t="s">
        <v>439</v>
      </c>
    </row>
    <row r="295" spans="2:4" x14ac:dyDescent="0.25">
      <c r="B295" s="514" t="s">
        <v>727</v>
      </c>
      <c r="C295" s="507">
        <v>14800</v>
      </c>
      <c r="D295" s="505" t="s">
        <v>439</v>
      </c>
    </row>
    <row r="296" spans="2:4" x14ac:dyDescent="0.25">
      <c r="B296" s="513" t="s">
        <v>728</v>
      </c>
      <c r="C296" s="507">
        <v>11500</v>
      </c>
      <c r="D296" s="505" t="s">
        <v>439</v>
      </c>
    </row>
    <row r="297" spans="2:4" x14ac:dyDescent="0.25">
      <c r="B297" s="513" t="s">
        <v>729</v>
      </c>
      <c r="C297" s="507">
        <v>12000</v>
      </c>
      <c r="D297" s="505" t="s">
        <v>439</v>
      </c>
    </row>
    <row r="298" spans="2:4" x14ac:dyDescent="0.25">
      <c r="B298" s="514" t="s">
        <v>730</v>
      </c>
      <c r="C298" s="507">
        <v>14400</v>
      </c>
      <c r="D298" s="505" t="s">
        <v>439</v>
      </c>
    </row>
    <row r="299" spans="2:4" x14ac:dyDescent="0.25">
      <c r="B299" s="514" t="s">
        <v>731</v>
      </c>
      <c r="C299" s="507">
        <v>15300</v>
      </c>
      <c r="D299" s="505" t="s">
        <v>439</v>
      </c>
    </row>
    <row r="300" spans="2:4" x14ac:dyDescent="0.25">
      <c r="B300" s="513" t="s">
        <v>732</v>
      </c>
      <c r="C300" s="507">
        <v>12000</v>
      </c>
      <c r="D300" s="505" t="s">
        <v>439</v>
      </c>
    </row>
    <row r="301" spans="2:4" x14ac:dyDescent="0.25">
      <c r="B301" s="513" t="s">
        <v>733</v>
      </c>
      <c r="C301" s="507">
        <v>12000</v>
      </c>
      <c r="D301" s="505" t="s">
        <v>439</v>
      </c>
    </row>
    <row r="302" spans="2:4" x14ac:dyDescent="0.25">
      <c r="B302" s="513" t="s">
        <v>734</v>
      </c>
      <c r="C302" s="507">
        <v>11000</v>
      </c>
      <c r="D302" s="505" t="s">
        <v>439</v>
      </c>
    </row>
    <row r="303" spans="2:4" x14ac:dyDescent="0.25">
      <c r="B303" s="513" t="s">
        <v>735</v>
      </c>
      <c r="C303" s="507">
        <v>11000</v>
      </c>
      <c r="D303" s="505" t="s">
        <v>439</v>
      </c>
    </row>
    <row r="304" spans="2:4" x14ac:dyDescent="0.25">
      <c r="B304" s="513" t="s">
        <v>736</v>
      </c>
      <c r="C304" s="507">
        <v>11800</v>
      </c>
      <c r="D304" s="505" t="s">
        <v>439</v>
      </c>
    </row>
    <row r="305" spans="2:4" x14ac:dyDescent="0.25">
      <c r="B305" s="513" t="s">
        <v>737</v>
      </c>
      <c r="C305" s="507">
        <v>11800</v>
      </c>
      <c r="D305" s="505" t="s">
        <v>439</v>
      </c>
    </row>
    <row r="306" spans="2:4" x14ac:dyDescent="0.25">
      <c r="B306" s="514" t="s">
        <v>738</v>
      </c>
      <c r="C306" s="507">
        <v>15500</v>
      </c>
      <c r="D306" s="505" t="s">
        <v>439</v>
      </c>
    </row>
    <row r="307" spans="2:4" x14ac:dyDescent="0.25">
      <c r="B307" s="515" t="s">
        <v>739</v>
      </c>
      <c r="C307" s="516">
        <v>142500</v>
      </c>
      <c r="D307" s="505" t="s">
        <v>439</v>
      </c>
    </row>
    <row r="308" spans="2:4" x14ac:dyDescent="0.25">
      <c r="B308" s="510" t="s">
        <v>773</v>
      </c>
      <c r="C308" s="510"/>
      <c r="D308" s="511"/>
    </row>
    <row r="309" spans="2:4" x14ac:dyDescent="0.25">
      <c r="B309" s="506" t="s">
        <v>740</v>
      </c>
      <c r="C309" s="507">
        <v>25800</v>
      </c>
      <c r="D309" s="505" t="s">
        <v>439</v>
      </c>
    </row>
    <row r="310" spans="2:4" x14ac:dyDescent="0.25">
      <c r="B310" s="506" t="s">
        <v>741</v>
      </c>
      <c r="C310" s="507">
        <v>25800</v>
      </c>
      <c r="D310" s="505" t="s">
        <v>439</v>
      </c>
    </row>
    <row r="311" spans="2:4" x14ac:dyDescent="0.25">
      <c r="B311" s="506" t="s">
        <v>742</v>
      </c>
      <c r="C311" s="507">
        <v>48000</v>
      </c>
      <c r="D311" s="505" t="s">
        <v>439</v>
      </c>
    </row>
    <row r="312" spans="2:4" x14ac:dyDescent="0.25">
      <c r="B312" s="506" t="s">
        <v>743</v>
      </c>
      <c r="C312" s="507">
        <v>48000</v>
      </c>
      <c r="D312" s="505" t="s">
        <v>439</v>
      </c>
    </row>
    <row r="313" spans="2:4" x14ac:dyDescent="0.25">
      <c r="B313" s="506" t="s">
        <v>744</v>
      </c>
      <c r="C313" s="507">
        <v>51600</v>
      </c>
      <c r="D313" s="505" t="s">
        <v>439</v>
      </c>
    </row>
    <row r="314" spans="2:4" x14ac:dyDescent="0.25">
      <c r="B314" s="506" t="s">
        <v>745</v>
      </c>
      <c r="C314" s="507">
        <v>203800</v>
      </c>
      <c r="D314" s="505" t="s">
        <v>439</v>
      </c>
    </row>
    <row r="315" spans="2:4" x14ac:dyDescent="0.25">
      <c r="B315" s="510" t="s">
        <v>774</v>
      </c>
      <c r="C315" s="510"/>
      <c r="D315" s="511"/>
    </row>
    <row r="316" spans="2:4" x14ac:dyDescent="0.25">
      <c r="B316" s="506" t="s">
        <v>746</v>
      </c>
      <c r="C316" s="507">
        <v>16200</v>
      </c>
      <c r="D316" s="505" t="s">
        <v>439</v>
      </c>
    </row>
    <row r="317" spans="2:4" x14ac:dyDescent="0.25">
      <c r="B317" s="506" t="s">
        <v>747</v>
      </c>
      <c r="C317" s="507">
        <v>16700</v>
      </c>
      <c r="D317" s="505" t="s">
        <v>439</v>
      </c>
    </row>
    <row r="318" spans="2:4" x14ac:dyDescent="0.25">
      <c r="B318" s="506" t="s">
        <v>748</v>
      </c>
      <c r="C318" s="507">
        <v>15000</v>
      </c>
      <c r="D318" s="505" t="s">
        <v>439</v>
      </c>
    </row>
    <row r="319" spans="2:4" x14ac:dyDescent="0.25">
      <c r="B319" s="506" t="s">
        <v>749</v>
      </c>
      <c r="C319" s="507">
        <v>23700</v>
      </c>
      <c r="D319" s="505" t="s">
        <v>439</v>
      </c>
    </row>
    <row r="320" spans="2:4" x14ac:dyDescent="0.25">
      <c r="B320" s="510" t="s">
        <v>775</v>
      </c>
      <c r="C320" s="510"/>
      <c r="D320" s="511" t="s">
        <v>623</v>
      </c>
    </row>
    <row r="321" spans="2:4" x14ac:dyDescent="0.25">
      <c r="B321" s="506" t="s">
        <v>750</v>
      </c>
      <c r="C321" s="507">
        <v>56400</v>
      </c>
      <c r="D321" s="505" t="s">
        <v>439</v>
      </c>
    </row>
    <row r="322" spans="2:4" x14ac:dyDescent="0.25">
      <c r="B322" s="506" t="s">
        <v>751</v>
      </c>
      <c r="C322" s="507">
        <v>58200</v>
      </c>
      <c r="D322" s="505" t="s">
        <v>439</v>
      </c>
    </row>
    <row r="323" spans="2:4" x14ac:dyDescent="0.25">
      <c r="B323" s="506" t="s">
        <v>752</v>
      </c>
      <c r="C323" s="507">
        <v>60000</v>
      </c>
      <c r="D323" s="505" t="s">
        <v>439</v>
      </c>
    </row>
    <row r="324" spans="2:4" x14ac:dyDescent="0.25">
      <c r="B324" s="506" t="s">
        <v>753</v>
      </c>
      <c r="C324" s="507">
        <v>109560</v>
      </c>
      <c r="D324" s="505" t="s">
        <v>439</v>
      </c>
    </row>
    <row r="325" spans="2:4" x14ac:dyDescent="0.25">
      <c r="B325" s="506" t="s">
        <v>754</v>
      </c>
      <c r="C325" s="507">
        <v>112800</v>
      </c>
      <c r="D325" s="505" t="s">
        <v>439</v>
      </c>
    </row>
    <row r="326" spans="2:4" x14ac:dyDescent="0.25">
      <c r="B326" s="506" t="s">
        <v>755</v>
      </c>
      <c r="C326" s="507">
        <v>107040</v>
      </c>
      <c r="D326" s="505" t="s">
        <v>439</v>
      </c>
    </row>
    <row r="327" spans="2:4" x14ac:dyDescent="0.25">
      <c r="B327" s="506" t="s">
        <v>756</v>
      </c>
      <c r="C327" s="507">
        <v>112800</v>
      </c>
      <c r="D327" s="505" t="s">
        <v>439</v>
      </c>
    </row>
    <row r="328" spans="2:4" x14ac:dyDescent="0.25">
      <c r="B328" s="506" t="s">
        <v>757</v>
      </c>
      <c r="C328" s="507">
        <v>158400</v>
      </c>
      <c r="D328" s="505" t="s">
        <v>439</v>
      </c>
    </row>
    <row r="329" spans="2:4" x14ac:dyDescent="0.25">
      <c r="B329" s="506" t="s">
        <v>758</v>
      </c>
      <c r="C329" s="507">
        <v>158400</v>
      </c>
      <c r="D329" s="505" t="s">
        <v>439</v>
      </c>
    </row>
    <row r="330" spans="2:4" x14ac:dyDescent="0.25">
      <c r="B330" s="506" t="s">
        <v>759</v>
      </c>
      <c r="C330" s="507">
        <v>158400</v>
      </c>
      <c r="D330" s="505" t="s">
        <v>439</v>
      </c>
    </row>
    <row r="331" spans="2:4" x14ac:dyDescent="0.25">
      <c r="B331" s="510" t="s">
        <v>776</v>
      </c>
      <c r="C331" s="510"/>
      <c r="D331" s="511"/>
    </row>
    <row r="332" spans="2:4" x14ac:dyDescent="0.25">
      <c r="B332" s="506" t="s">
        <v>760</v>
      </c>
      <c r="C332" s="507">
        <v>31300</v>
      </c>
      <c r="D332" s="505" t="s">
        <v>439</v>
      </c>
    </row>
    <row r="333" spans="2:4" x14ac:dyDescent="0.25">
      <c r="B333" s="506" t="s">
        <v>761</v>
      </c>
      <c r="C333" s="507">
        <v>58950</v>
      </c>
      <c r="D333" s="505" t="s">
        <v>439</v>
      </c>
    </row>
    <row r="334" spans="2:4" x14ac:dyDescent="0.25">
      <c r="B334" s="506" t="s">
        <v>762</v>
      </c>
      <c r="C334" s="507">
        <v>61900</v>
      </c>
      <c r="D334" s="505" t="s">
        <v>439</v>
      </c>
    </row>
    <row r="335" spans="2:4" x14ac:dyDescent="0.25">
      <c r="B335" s="506" t="s">
        <v>763</v>
      </c>
      <c r="C335" s="507">
        <v>93500</v>
      </c>
      <c r="D335" s="505" t="s">
        <v>439</v>
      </c>
    </row>
    <row r="336" spans="2:4" x14ac:dyDescent="0.25">
      <c r="B336" s="510" t="s">
        <v>777</v>
      </c>
      <c r="C336" s="510"/>
      <c r="D336" s="511"/>
    </row>
    <row r="337" spans="2:4" x14ac:dyDescent="0.25">
      <c r="B337" s="517" t="s">
        <v>764</v>
      </c>
      <c r="C337" s="512">
        <v>2000</v>
      </c>
      <c r="D337" s="505" t="s">
        <v>439</v>
      </c>
    </row>
    <row r="338" spans="2:4" x14ac:dyDescent="0.25">
      <c r="B338" s="517" t="s">
        <v>765</v>
      </c>
      <c r="C338" s="512">
        <v>24000</v>
      </c>
      <c r="D338" s="505" t="s">
        <v>439</v>
      </c>
    </row>
    <row r="339" spans="2:4" x14ac:dyDescent="0.25">
      <c r="B339" s="517" t="s">
        <v>766</v>
      </c>
      <c r="C339" s="512">
        <v>5800</v>
      </c>
      <c r="D339" s="505" t="s">
        <v>439</v>
      </c>
    </row>
    <row r="340" spans="2:4" x14ac:dyDescent="0.25">
      <c r="B340" s="517" t="s">
        <v>767</v>
      </c>
      <c r="C340" s="512">
        <v>2900</v>
      </c>
      <c r="D340" s="505" t="s">
        <v>439</v>
      </c>
    </row>
    <row r="341" spans="2:4" x14ac:dyDescent="0.25">
      <c r="B341" s="517" t="s">
        <v>768</v>
      </c>
      <c r="C341" s="512">
        <v>1900</v>
      </c>
      <c r="D341" s="505" t="s">
        <v>439</v>
      </c>
    </row>
  </sheetData>
  <autoFilter ref="B1:B172"/>
  <pageMargins left="0.7" right="0.7" top="0.75" bottom="0.75" header="0.3" footer="0.3"/>
  <pageSetup paperSize="9" scale="2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B1:G58"/>
  <sheetViews>
    <sheetView topLeftCell="A16" zoomScaleNormal="100" workbookViewId="0">
      <selection activeCell="D8" sqref="D8"/>
    </sheetView>
  </sheetViews>
  <sheetFormatPr defaultRowHeight="15" x14ac:dyDescent="0.25"/>
  <cols>
    <col min="2" max="2" width="4.140625" bestFit="1" customWidth="1"/>
    <col min="3" max="3" width="36.85546875" customWidth="1"/>
    <col min="4" max="4" width="32" bestFit="1" customWidth="1"/>
    <col min="5" max="5" width="30.42578125" customWidth="1"/>
    <col min="6" max="6" width="16" customWidth="1"/>
  </cols>
  <sheetData>
    <row r="1" spans="2:7" ht="15.75" thickBot="1" x14ac:dyDescent="0.3"/>
    <row r="2" spans="2:7" ht="48" thickBot="1" x14ac:dyDescent="0.3">
      <c r="B2" s="5">
        <v>1</v>
      </c>
      <c r="C2" s="6" t="s">
        <v>1</v>
      </c>
      <c r="D2" s="7" t="s">
        <v>2</v>
      </c>
      <c r="E2" s="7" t="s">
        <v>3</v>
      </c>
      <c r="F2" s="6">
        <v>8</v>
      </c>
      <c r="G2" s="9"/>
    </row>
    <row r="3" spans="2:7" ht="32.25" thickBot="1" x14ac:dyDescent="0.3">
      <c r="B3" s="11">
        <v>2</v>
      </c>
      <c r="C3" s="12"/>
      <c r="D3" s="12" t="s">
        <v>4</v>
      </c>
      <c r="E3" s="12" t="s">
        <v>5</v>
      </c>
      <c r="F3" s="13">
        <v>1</v>
      </c>
      <c r="G3" s="9"/>
    </row>
    <row r="4" spans="2:7" ht="48" thickBot="1" x14ac:dyDescent="0.3">
      <c r="B4" s="11" t="s">
        <v>6</v>
      </c>
      <c r="C4" s="12" t="s">
        <v>7</v>
      </c>
      <c r="D4" s="12" t="s">
        <v>8</v>
      </c>
      <c r="E4" s="12" t="s">
        <v>9</v>
      </c>
      <c r="F4" s="13">
        <v>3</v>
      </c>
      <c r="G4" s="9"/>
    </row>
    <row r="5" spans="2:7" ht="48" thickBot="1" x14ac:dyDescent="0.3">
      <c r="B5" s="11" t="s">
        <v>10</v>
      </c>
      <c r="C5" s="14" t="s">
        <v>11</v>
      </c>
      <c r="D5" s="12" t="s">
        <v>12</v>
      </c>
      <c r="E5" s="12" t="s">
        <v>13</v>
      </c>
      <c r="F5" s="13">
        <v>1</v>
      </c>
      <c r="G5" s="9"/>
    </row>
    <row r="6" spans="2:7" ht="32.25" thickBot="1" x14ac:dyDescent="0.3">
      <c r="B6" s="11" t="s">
        <v>14</v>
      </c>
      <c r="C6" s="14" t="s">
        <v>15</v>
      </c>
      <c r="D6" s="12" t="s">
        <v>16</v>
      </c>
      <c r="E6" s="12" t="s">
        <v>17</v>
      </c>
      <c r="F6" s="13">
        <v>1</v>
      </c>
      <c r="G6" s="9"/>
    </row>
    <row r="7" spans="2:7" ht="32.25" thickBot="1" x14ac:dyDescent="0.3">
      <c r="B7" s="11" t="s">
        <v>18</v>
      </c>
      <c r="C7" s="358" t="s">
        <v>19</v>
      </c>
      <c r="D7" s="359" t="s">
        <v>20</v>
      </c>
      <c r="E7" s="359" t="s">
        <v>21</v>
      </c>
      <c r="F7" s="360">
        <v>4</v>
      </c>
      <c r="G7" s="9"/>
    </row>
    <row r="8" spans="2:7" ht="32.25" thickBot="1" x14ac:dyDescent="0.3">
      <c r="B8" s="11" t="s">
        <v>22</v>
      </c>
      <c r="C8" s="14" t="s">
        <v>23</v>
      </c>
      <c r="D8" s="12" t="s">
        <v>24</v>
      </c>
      <c r="E8" s="12" t="s">
        <v>25</v>
      </c>
      <c r="F8" s="13">
        <v>3</v>
      </c>
      <c r="G8" s="9"/>
    </row>
    <row r="9" spans="2:7" ht="32.25" thickBot="1" x14ac:dyDescent="0.3">
      <c r="B9" s="11" t="s">
        <v>26</v>
      </c>
      <c r="C9" s="13"/>
      <c r="D9" s="12" t="s">
        <v>27</v>
      </c>
      <c r="E9" s="12" t="s">
        <v>27</v>
      </c>
      <c r="F9" s="13">
        <v>1</v>
      </c>
      <c r="G9" s="9"/>
    </row>
    <row r="10" spans="2:7" ht="32.25" thickBot="1" x14ac:dyDescent="0.3">
      <c r="B10" s="11" t="s">
        <v>28</v>
      </c>
      <c r="C10" s="13"/>
      <c r="D10" s="12" t="s">
        <v>29</v>
      </c>
      <c r="E10" s="12" t="s">
        <v>29</v>
      </c>
      <c r="F10" s="13">
        <v>1</v>
      </c>
      <c r="G10" s="9"/>
    </row>
    <row r="11" spans="2:7" ht="16.5" thickBot="1" x14ac:dyDescent="0.3">
      <c r="B11" s="11" t="s">
        <v>30</v>
      </c>
      <c r="C11" s="13"/>
      <c r="D11" s="12" t="s">
        <v>31</v>
      </c>
      <c r="E11" s="12" t="s">
        <v>31</v>
      </c>
      <c r="F11" s="13">
        <v>1</v>
      </c>
      <c r="G11" s="9"/>
    </row>
    <row r="12" spans="2:7" ht="17.25" thickBot="1" x14ac:dyDescent="0.3">
      <c r="B12" s="15"/>
      <c r="C12" s="16"/>
      <c r="D12" s="17" t="s">
        <v>32</v>
      </c>
      <c r="E12" s="16"/>
      <c r="F12" s="16"/>
      <c r="G12" s="9"/>
    </row>
    <row r="13" spans="2:7" ht="15.75" thickBot="1" x14ac:dyDescent="0.3">
      <c r="B13" s="8"/>
      <c r="C13" s="8"/>
      <c r="D13" s="8"/>
      <c r="E13" s="8"/>
      <c r="F13" s="8"/>
      <c r="G13" s="9"/>
    </row>
    <row r="14" spans="2:7" ht="47.25" customHeight="1" x14ac:dyDescent="0.25">
      <c r="B14" s="555" t="s">
        <v>33</v>
      </c>
      <c r="C14" s="549" t="s">
        <v>34</v>
      </c>
      <c r="D14" s="549" t="s">
        <v>35</v>
      </c>
      <c r="E14" s="549" t="s">
        <v>36</v>
      </c>
      <c r="F14" s="549" t="s">
        <v>37</v>
      </c>
      <c r="G14" s="9"/>
    </row>
    <row r="15" spans="2:7" ht="15.75" thickBot="1" x14ac:dyDescent="0.3">
      <c r="B15" s="556"/>
      <c r="C15" s="550"/>
      <c r="D15" s="550"/>
      <c r="E15" s="550"/>
      <c r="F15" s="550"/>
      <c r="G15" s="9"/>
    </row>
    <row r="16" spans="2:7" ht="16.5" thickBot="1" x14ac:dyDescent="0.3">
      <c r="B16" s="18"/>
      <c r="C16" s="19"/>
      <c r="D16" s="551" t="s">
        <v>38</v>
      </c>
      <c r="E16" s="552"/>
      <c r="F16" s="20"/>
      <c r="G16" s="9"/>
    </row>
    <row r="17" spans="2:7" ht="16.5" thickBot="1" x14ac:dyDescent="0.3">
      <c r="B17" s="18"/>
      <c r="C17" s="19"/>
      <c r="D17" s="553" t="s">
        <v>39</v>
      </c>
      <c r="E17" s="554"/>
      <c r="F17" s="21"/>
      <c r="G17" s="9"/>
    </row>
    <row r="18" spans="2:7" ht="48" thickBot="1" x14ac:dyDescent="0.3">
      <c r="B18" s="11">
        <v>1</v>
      </c>
      <c r="C18" s="13" t="s">
        <v>1</v>
      </c>
      <c r="D18" s="12" t="s">
        <v>2</v>
      </c>
      <c r="E18" s="12" t="s">
        <v>3</v>
      </c>
      <c r="F18" s="13">
        <v>10</v>
      </c>
      <c r="G18" s="9"/>
    </row>
    <row r="19" spans="2:7" ht="32.25" thickBot="1" x14ac:dyDescent="0.3">
      <c r="B19" s="11">
        <v>2</v>
      </c>
      <c r="C19" s="14" t="s">
        <v>40</v>
      </c>
      <c r="D19" s="14" t="s">
        <v>4</v>
      </c>
      <c r="E19" s="14" t="s">
        <v>41</v>
      </c>
      <c r="F19" s="13">
        <v>1</v>
      </c>
      <c r="G19" s="9"/>
    </row>
    <row r="20" spans="2:7" ht="48" thickBot="1" x14ac:dyDescent="0.3">
      <c r="B20" s="11" t="s">
        <v>6</v>
      </c>
      <c r="C20" s="14" t="s">
        <v>7</v>
      </c>
      <c r="D20" s="14" t="s">
        <v>8</v>
      </c>
      <c r="E20" s="14" t="s">
        <v>9</v>
      </c>
      <c r="F20" s="13">
        <v>3</v>
      </c>
      <c r="G20" s="9"/>
    </row>
    <row r="21" spans="2:7" ht="48" thickBot="1" x14ac:dyDescent="0.3">
      <c r="B21" s="11" t="s">
        <v>10</v>
      </c>
      <c r="C21" s="14" t="s">
        <v>42</v>
      </c>
      <c r="D21" s="14" t="s">
        <v>12</v>
      </c>
      <c r="E21" s="14" t="s">
        <v>43</v>
      </c>
      <c r="F21" s="13">
        <v>1</v>
      </c>
      <c r="G21" s="9"/>
    </row>
    <row r="22" spans="2:7" ht="32.25" thickBot="1" x14ac:dyDescent="0.3">
      <c r="B22" s="11" t="s">
        <v>14</v>
      </c>
      <c r="C22" s="14" t="s">
        <v>15</v>
      </c>
      <c r="D22" s="14" t="s">
        <v>16</v>
      </c>
      <c r="E22" s="14" t="s">
        <v>17</v>
      </c>
      <c r="F22" s="13">
        <v>1</v>
      </c>
      <c r="G22" s="9"/>
    </row>
    <row r="23" spans="2:7" ht="48" thickBot="1" x14ac:dyDescent="0.3">
      <c r="B23" s="11" t="s">
        <v>18</v>
      </c>
      <c r="C23" s="358" t="s">
        <v>19</v>
      </c>
      <c r="D23" s="358" t="s">
        <v>44</v>
      </c>
      <c r="E23" s="358" t="s">
        <v>45</v>
      </c>
      <c r="F23" s="360">
        <v>4</v>
      </c>
      <c r="G23" s="9"/>
    </row>
    <row r="24" spans="2:7" ht="32.25" thickBot="1" x14ac:dyDescent="0.3">
      <c r="B24" s="11" t="s">
        <v>22</v>
      </c>
      <c r="C24" s="14" t="s">
        <v>23</v>
      </c>
      <c r="D24" s="14" t="s">
        <v>24</v>
      </c>
      <c r="E24" s="14" t="s">
        <v>25</v>
      </c>
      <c r="F24" s="13">
        <v>3</v>
      </c>
      <c r="G24" s="9"/>
    </row>
    <row r="25" spans="2:7" ht="32.25" thickBot="1" x14ac:dyDescent="0.3">
      <c r="B25" s="11" t="s">
        <v>26</v>
      </c>
      <c r="C25" s="14"/>
      <c r="D25" s="14" t="s">
        <v>27</v>
      </c>
      <c r="E25" s="14" t="s">
        <v>27</v>
      </c>
      <c r="F25" s="13">
        <v>1</v>
      </c>
      <c r="G25" s="9"/>
    </row>
    <row r="26" spans="2:7" ht="32.25" thickBot="1" x14ac:dyDescent="0.3">
      <c r="B26" s="11" t="s">
        <v>28</v>
      </c>
      <c r="C26" s="14"/>
      <c r="D26" s="14" t="s">
        <v>29</v>
      </c>
      <c r="E26" s="14" t="s">
        <v>29</v>
      </c>
      <c r="F26" s="13">
        <v>1</v>
      </c>
      <c r="G26" s="9"/>
    </row>
    <row r="27" spans="2:7" ht="16.5" thickBot="1" x14ac:dyDescent="0.3">
      <c r="B27" s="11" t="s">
        <v>30</v>
      </c>
      <c r="C27" s="13"/>
      <c r="D27" s="12" t="s">
        <v>31</v>
      </c>
      <c r="E27" s="12" t="s">
        <v>31</v>
      </c>
      <c r="F27" s="13">
        <v>1</v>
      </c>
      <c r="G27" s="9"/>
    </row>
    <row r="28" spans="2:7" ht="17.25" thickBot="1" x14ac:dyDescent="0.3">
      <c r="B28" s="22"/>
      <c r="C28" s="23"/>
      <c r="D28" s="17" t="s">
        <v>32</v>
      </c>
      <c r="E28" s="23"/>
      <c r="F28" s="23"/>
      <c r="G28" s="9"/>
    </row>
    <row r="29" spans="2:7" ht="15.75" thickBot="1" x14ac:dyDescent="0.3">
      <c r="B29" s="8"/>
      <c r="C29" s="8"/>
      <c r="D29" s="8"/>
      <c r="E29" s="8"/>
      <c r="F29" s="8"/>
      <c r="G29" s="9"/>
    </row>
    <row r="30" spans="2:7" ht="47.25" customHeight="1" x14ac:dyDescent="0.25">
      <c r="B30" s="555" t="s">
        <v>33</v>
      </c>
      <c r="C30" s="549" t="s">
        <v>34</v>
      </c>
      <c r="D30" s="549" t="s">
        <v>35</v>
      </c>
      <c r="E30" s="549" t="s">
        <v>36</v>
      </c>
      <c r="F30" s="549" t="s">
        <v>37</v>
      </c>
      <c r="G30" s="9"/>
    </row>
    <row r="31" spans="2:7" ht="15.75" thickBot="1" x14ac:dyDescent="0.3">
      <c r="B31" s="556"/>
      <c r="C31" s="550"/>
      <c r="D31" s="550"/>
      <c r="E31" s="550"/>
      <c r="F31" s="550"/>
      <c r="G31" s="9"/>
    </row>
    <row r="32" spans="2:7" ht="16.5" thickBot="1" x14ac:dyDescent="0.3">
      <c r="B32" s="18"/>
      <c r="C32" s="19"/>
      <c r="D32" s="551" t="s">
        <v>46</v>
      </c>
      <c r="E32" s="552"/>
      <c r="F32" s="20"/>
      <c r="G32" s="9"/>
    </row>
    <row r="33" spans="2:7" ht="16.5" thickBot="1" x14ac:dyDescent="0.3">
      <c r="B33" s="18"/>
      <c r="C33" s="19"/>
      <c r="D33" s="553" t="s">
        <v>47</v>
      </c>
      <c r="E33" s="554"/>
      <c r="F33" s="21"/>
      <c r="G33" s="9"/>
    </row>
    <row r="34" spans="2:7" ht="32.25" thickBot="1" x14ac:dyDescent="0.3">
      <c r="B34" s="11">
        <v>1</v>
      </c>
      <c r="C34" s="13" t="s">
        <v>1</v>
      </c>
      <c r="D34" s="12" t="s">
        <v>2</v>
      </c>
      <c r="E34" s="12" t="s">
        <v>2</v>
      </c>
      <c r="F34" s="13">
        <v>18</v>
      </c>
      <c r="G34" s="9"/>
    </row>
    <row r="35" spans="2:7" ht="32.25" thickBot="1" x14ac:dyDescent="0.3">
      <c r="B35" s="11">
        <v>2</v>
      </c>
      <c r="C35" s="14" t="s">
        <v>48</v>
      </c>
      <c r="D35" s="12" t="s">
        <v>4</v>
      </c>
      <c r="E35" s="12" t="s">
        <v>49</v>
      </c>
      <c r="F35" s="13">
        <v>1</v>
      </c>
      <c r="G35" s="9"/>
    </row>
    <row r="36" spans="2:7" ht="63.75" thickBot="1" x14ac:dyDescent="0.3">
      <c r="B36" s="11" t="s">
        <v>6</v>
      </c>
      <c r="C36" s="14" t="s">
        <v>50</v>
      </c>
      <c r="D36" s="12" t="s">
        <v>8</v>
      </c>
      <c r="E36" s="12" t="s">
        <v>51</v>
      </c>
      <c r="F36" s="13">
        <v>3</v>
      </c>
      <c r="G36" s="9"/>
    </row>
    <row r="37" spans="2:7" ht="48" thickBot="1" x14ac:dyDescent="0.3">
      <c r="B37" s="11" t="s">
        <v>10</v>
      </c>
      <c r="C37" s="13" t="s">
        <v>42</v>
      </c>
      <c r="D37" s="12" t="s">
        <v>12</v>
      </c>
      <c r="E37" s="12" t="s">
        <v>43</v>
      </c>
      <c r="F37" s="13">
        <v>2</v>
      </c>
      <c r="G37" s="9"/>
    </row>
    <row r="38" spans="2:7" ht="32.25" thickBot="1" x14ac:dyDescent="0.3">
      <c r="B38" s="11" t="s">
        <v>14</v>
      </c>
      <c r="C38" s="14" t="s">
        <v>15</v>
      </c>
      <c r="D38" s="14" t="s">
        <v>16</v>
      </c>
      <c r="E38" s="14" t="s">
        <v>17</v>
      </c>
      <c r="F38" s="13">
        <v>1</v>
      </c>
      <c r="G38" s="9"/>
    </row>
    <row r="39" spans="2:7" ht="32.25" thickBot="1" x14ac:dyDescent="0.3">
      <c r="B39" s="11" t="s">
        <v>18</v>
      </c>
      <c r="C39" s="14" t="s">
        <v>52</v>
      </c>
      <c r="D39" s="14" t="s">
        <v>44</v>
      </c>
      <c r="E39" s="14" t="s">
        <v>53</v>
      </c>
      <c r="F39" s="13">
        <v>24</v>
      </c>
      <c r="G39" s="9"/>
    </row>
    <row r="40" spans="2:7" ht="32.25" thickBot="1" x14ac:dyDescent="0.3">
      <c r="B40" s="11" t="s">
        <v>22</v>
      </c>
      <c r="C40" s="14"/>
      <c r="D40" s="14" t="s">
        <v>27</v>
      </c>
      <c r="E40" s="14" t="s">
        <v>27</v>
      </c>
      <c r="F40" s="13">
        <v>1</v>
      </c>
      <c r="G40" s="9"/>
    </row>
    <row r="41" spans="2:7" ht="32.25" thickBot="1" x14ac:dyDescent="0.3">
      <c r="B41" s="11" t="s">
        <v>26</v>
      </c>
      <c r="C41" s="14"/>
      <c r="D41" s="14" t="s">
        <v>29</v>
      </c>
      <c r="E41" s="14" t="s">
        <v>29</v>
      </c>
      <c r="F41" s="13">
        <v>1</v>
      </c>
      <c r="G41" s="9"/>
    </row>
    <row r="42" spans="2:7" ht="16.5" thickBot="1" x14ac:dyDescent="0.3">
      <c r="B42" s="11" t="s">
        <v>28</v>
      </c>
      <c r="C42" s="14"/>
      <c r="D42" s="14" t="s">
        <v>31</v>
      </c>
      <c r="E42" s="14" t="s">
        <v>31</v>
      </c>
      <c r="F42" s="13">
        <v>1</v>
      </c>
      <c r="G42" s="9"/>
    </row>
    <row r="43" spans="2:7" ht="17.25" thickBot="1" x14ac:dyDescent="0.3">
      <c r="B43" s="22"/>
      <c r="C43" s="23"/>
      <c r="D43" s="17" t="s">
        <v>32</v>
      </c>
      <c r="E43" s="23"/>
      <c r="F43" s="23"/>
      <c r="G43" s="9"/>
    </row>
    <row r="44" spans="2:7" ht="15.75" thickBot="1" x14ac:dyDescent="0.3">
      <c r="B44" s="8"/>
      <c r="C44" s="8"/>
      <c r="D44" s="8"/>
      <c r="E44" s="8"/>
      <c r="F44" s="8"/>
      <c r="G44" s="9"/>
    </row>
    <row r="45" spans="2:7" ht="47.25" customHeight="1" x14ac:dyDescent="0.25">
      <c r="B45" s="555" t="s">
        <v>33</v>
      </c>
      <c r="C45" s="549" t="s">
        <v>34</v>
      </c>
      <c r="D45" s="549" t="s">
        <v>35</v>
      </c>
      <c r="E45" s="549" t="s">
        <v>36</v>
      </c>
      <c r="F45" s="549" t="s">
        <v>37</v>
      </c>
      <c r="G45" s="9"/>
    </row>
    <row r="46" spans="2:7" ht="15.75" thickBot="1" x14ac:dyDescent="0.3">
      <c r="B46" s="556"/>
      <c r="C46" s="550"/>
      <c r="D46" s="550"/>
      <c r="E46" s="550"/>
      <c r="F46" s="550"/>
      <c r="G46" s="9"/>
    </row>
    <row r="47" spans="2:7" ht="16.5" thickBot="1" x14ac:dyDescent="0.3">
      <c r="B47" s="18"/>
      <c r="C47" s="19"/>
      <c r="D47" s="551" t="s">
        <v>54</v>
      </c>
      <c r="E47" s="552"/>
      <c r="F47" s="20"/>
      <c r="G47" s="9"/>
    </row>
    <row r="48" spans="2:7" ht="16.5" thickBot="1" x14ac:dyDescent="0.3">
      <c r="B48" s="18"/>
      <c r="C48" s="19"/>
      <c r="D48" s="553" t="s">
        <v>55</v>
      </c>
      <c r="E48" s="554"/>
      <c r="F48" s="21"/>
      <c r="G48" s="9"/>
    </row>
    <row r="49" spans="2:7" ht="32.25" thickBot="1" x14ac:dyDescent="0.3">
      <c r="B49" s="11">
        <v>1</v>
      </c>
      <c r="C49" s="13" t="s">
        <v>1</v>
      </c>
      <c r="D49" s="12" t="s">
        <v>2</v>
      </c>
      <c r="E49" s="12" t="s">
        <v>2</v>
      </c>
      <c r="F49" s="13">
        <v>36</v>
      </c>
      <c r="G49" s="9"/>
    </row>
    <row r="50" spans="2:7" ht="32.25" thickBot="1" x14ac:dyDescent="0.3">
      <c r="B50" s="11">
        <v>2</v>
      </c>
      <c r="C50" s="14" t="s">
        <v>56</v>
      </c>
      <c r="D50" s="14" t="s">
        <v>57</v>
      </c>
      <c r="E50" s="14" t="s">
        <v>58</v>
      </c>
      <c r="F50" s="13">
        <v>1</v>
      </c>
      <c r="G50" s="9"/>
    </row>
    <row r="51" spans="2:7" ht="48" thickBot="1" x14ac:dyDescent="0.3">
      <c r="B51" s="11" t="s">
        <v>6</v>
      </c>
      <c r="C51" s="14" t="s">
        <v>59</v>
      </c>
      <c r="D51" s="14" t="s">
        <v>60</v>
      </c>
      <c r="E51" s="14" t="s">
        <v>61</v>
      </c>
      <c r="F51" s="13">
        <v>3</v>
      </c>
      <c r="G51" s="9"/>
    </row>
    <row r="52" spans="2:7" ht="48" thickBot="1" x14ac:dyDescent="0.3">
      <c r="B52" s="11" t="s">
        <v>10</v>
      </c>
      <c r="C52" s="13" t="s">
        <v>42</v>
      </c>
      <c r="D52" s="13" t="s">
        <v>12</v>
      </c>
      <c r="E52" s="13" t="s">
        <v>43</v>
      </c>
      <c r="F52" s="13">
        <v>3</v>
      </c>
      <c r="G52" s="9"/>
    </row>
    <row r="53" spans="2:7" ht="32.25" thickBot="1" x14ac:dyDescent="0.3">
      <c r="B53" s="11" t="s">
        <v>14</v>
      </c>
      <c r="C53" s="14" t="s">
        <v>15</v>
      </c>
      <c r="D53" s="14" t="s">
        <v>16</v>
      </c>
      <c r="E53" s="14" t="s">
        <v>17</v>
      </c>
      <c r="F53" s="13">
        <v>1</v>
      </c>
      <c r="G53" s="9"/>
    </row>
    <row r="54" spans="2:7" ht="32.25" thickBot="1" x14ac:dyDescent="0.3">
      <c r="B54" s="11" t="s">
        <v>18</v>
      </c>
      <c r="C54" s="14" t="s">
        <v>52</v>
      </c>
      <c r="D54" s="14" t="s">
        <v>62</v>
      </c>
      <c r="E54" s="14" t="s">
        <v>63</v>
      </c>
      <c r="F54" s="13">
        <v>24</v>
      </c>
      <c r="G54" s="9"/>
    </row>
    <row r="55" spans="2:7" ht="32.25" thickBot="1" x14ac:dyDescent="0.3">
      <c r="B55" s="11" t="s">
        <v>22</v>
      </c>
      <c r="C55" s="13"/>
      <c r="D55" s="14" t="s">
        <v>27</v>
      </c>
      <c r="E55" s="14" t="s">
        <v>27</v>
      </c>
      <c r="F55" s="13">
        <v>1</v>
      </c>
      <c r="G55" s="9"/>
    </row>
    <row r="56" spans="2:7" ht="32.25" thickBot="1" x14ac:dyDescent="0.3">
      <c r="B56" s="11" t="s">
        <v>26</v>
      </c>
      <c r="C56" s="13"/>
      <c r="D56" s="14" t="s">
        <v>29</v>
      </c>
      <c r="E56" s="14" t="s">
        <v>29</v>
      </c>
      <c r="F56" s="13">
        <v>1</v>
      </c>
      <c r="G56" s="9"/>
    </row>
    <row r="57" spans="2:7" ht="16.5" thickBot="1" x14ac:dyDescent="0.3">
      <c r="B57" s="11" t="s">
        <v>28</v>
      </c>
      <c r="C57" s="13"/>
      <c r="D57" s="14" t="s">
        <v>31</v>
      </c>
      <c r="E57" s="14" t="s">
        <v>31</v>
      </c>
      <c r="F57" s="13">
        <v>1</v>
      </c>
      <c r="G57" s="9"/>
    </row>
    <row r="58" spans="2:7" ht="17.25" thickBot="1" x14ac:dyDescent="0.3">
      <c r="B58" s="22"/>
      <c r="C58" s="23"/>
      <c r="D58" s="17" t="s">
        <v>32</v>
      </c>
      <c r="E58" s="23"/>
      <c r="F58" s="23"/>
      <c r="G58" s="9"/>
    </row>
  </sheetData>
  <mergeCells count="21">
    <mergeCell ref="F30:F31"/>
    <mergeCell ref="B14:B15"/>
    <mergeCell ref="C14:C15"/>
    <mergeCell ref="D14:D15"/>
    <mergeCell ref="E14:E15"/>
    <mergeCell ref="F14:F15"/>
    <mergeCell ref="D16:E16"/>
    <mergeCell ref="B45:B46"/>
    <mergeCell ref="C45:C46"/>
    <mergeCell ref="D45:D46"/>
    <mergeCell ref="E45:E46"/>
    <mergeCell ref="D17:E17"/>
    <mergeCell ref="B30:B31"/>
    <mergeCell ref="C30:C31"/>
    <mergeCell ref="D30:D31"/>
    <mergeCell ref="E30:E31"/>
    <mergeCell ref="F45:F46"/>
    <mergeCell ref="D47:E47"/>
    <mergeCell ref="D48:E48"/>
    <mergeCell ref="D32:E32"/>
    <mergeCell ref="D33:E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N48"/>
  <sheetViews>
    <sheetView workbookViewId="0">
      <selection activeCell="C16" sqref="C16"/>
    </sheetView>
  </sheetViews>
  <sheetFormatPr defaultColWidth="8.85546875" defaultRowHeight="15" x14ac:dyDescent="0.25"/>
  <cols>
    <col min="1" max="1" width="2" style="121" customWidth="1"/>
    <col min="2" max="2" width="6.5703125" style="3" customWidth="1"/>
    <col min="3" max="3" width="96.5703125" style="3" bestFit="1" customWidth="1"/>
    <col min="4" max="4" width="16.42578125" style="4" bestFit="1" customWidth="1"/>
    <col min="5" max="5" width="7.42578125" style="3" bestFit="1" customWidth="1"/>
    <col min="6" max="6" width="17.5703125" style="3" customWidth="1"/>
    <col min="7" max="7" width="16.5703125" style="3" customWidth="1"/>
    <col min="8" max="8" width="10.140625" style="3" customWidth="1"/>
    <col min="9" max="9" width="18.140625" style="3" bestFit="1" customWidth="1"/>
    <col min="10" max="10" width="2.5703125" style="3" customWidth="1"/>
    <col min="11" max="11" width="20.5703125" style="3" bestFit="1" customWidth="1"/>
    <col min="12" max="12" width="11" style="3" bestFit="1" customWidth="1"/>
    <col min="13" max="13" width="16.140625" style="3" customWidth="1"/>
    <col min="14" max="14" width="13.42578125" style="3" bestFit="1" customWidth="1"/>
    <col min="15" max="16384" width="8.85546875" style="3"/>
  </cols>
  <sheetData>
    <row r="1" spans="2:13" ht="15.75" thickBot="1" x14ac:dyDescent="0.3"/>
    <row r="2" spans="2:13" ht="27" thickBot="1" x14ac:dyDescent="0.3">
      <c r="C2" s="122" t="s">
        <v>162</v>
      </c>
      <c r="D2" s="123">
        <v>8</v>
      </c>
      <c r="E2" s="123" t="s">
        <v>64</v>
      </c>
      <c r="F2" s="3">
        <v>1</v>
      </c>
      <c r="G2" s="3" t="s">
        <v>128</v>
      </c>
      <c r="H2" s="3">
        <v>8</v>
      </c>
      <c r="I2" s="3" t="s">
        <v>129</v>
      </c>
      <c r="K2" s="557" t="s">
        <v>67</v>
      </c>
      <c r="L2" s="558"/>
    </row>
    <row r="3" spans="2:13" ht="45.75" thickBot="1" x14ac:dyDescent="0.3">
      <c r="B3" s="124" t="s">
        <v>33</v>
      </c>
      <c r="C3" s="125" t="s">
        <v>0</v>
      </c>
      <c r="D3" s="126" t="s">
        <v>68</v>
      </c>
      <c r="E3" s="127" t="s">
        <v>69</v>
      </c>
      <c r="F3" s="128" t="s">
        <v>70</v>
      </c>
      <c r="G3" s="128" t="s">
        <v>71</v>
      </c>
      <c r="H3" s="129" t="s">
        <v>72</v>
      </c>
      <c r="I3" s="130" t="s">
        <v>73</v>
      </c>
      <c r="K3" s="131" t="s">
        <v>74</v>
      </c>
      <c r="L3" s="132">
        <f>E4*310</f>
        <v>3720</v>
      </c>
    </row>
    <row r="4" spans="2:13" ht="15.75" thickBot="1" x14ac:dyDescent="0.3">
      <c r="B4" s="133">
        <v>1</v>
      </c>
      <c r="C4" s="134" t="s">
        <v>130</v>
      </c>
      <c r="D4" s="135" t="s">
        <v>75</v>
      </c>
      <c r="E4" s="136">
        <v>12</v>
      </c>
      <c r="F4" s="137">
        <f>310*0.6*$L$4</f>
        <v>12090</v>
      </c>
      <c r="G4" s="138">
        <f>E4*F4</f>
        <v>145080</v>
      </c>
      <c r="H4" s="139">
        <f t="shared" ref="H4:H34" si="0">G4/$L$3/$L$4</f>
        <v>0.6</v>
      </c>
      <c r="I4" s="140"/>
      <c r="K4" s="141" t="s">
        <v>76</v>
      </c>
      <c r="L4" s="142">
        <v>65</v>
      </c>
    </row>
    <row r="5" spans="2:13" ht="15.75" thickBot="1" x14ac:dyDescent="0.3">
      <c r="B5" s="143">
        <v>2</v>
      </c>
      <c r="C5" s="144" t="s">
        <v>131</v>
      </c>
      <c r="D5" s="1" t="s">
        <v>75</v>
      </c>
      <c r="E5" s="145">
        <v>3</v>
      </c>
      <c r="F5" s="146">
        <v>300000</v>
      </c>
      <c r="G5" s="147">
        <f>F5*E5</f>
        <v>900000</v>
      </c>
      <c r="H5" s="148">
        <f t="shared" si="0"/>
        <v>3.7220843672456576</v>
      </c>
      <c r="I5" s="149" t="s">
        <v>132</v>
      </c>
      <c r="K5" s="141" t="s">
        <v>77</v>
      </c>
      <c r="L5" s="150">
        <v>75</v>
      </c>
      <c r="M5" s="151"/>
    </row>
    <row r="6" spans="2:13" x14ac:dyDescent="0.25">
      <c r="B6" s="143">
        <v>3</v>
      </c>
      <c r="C6" s="144" t="s">
        <v>133</v>
      </c>
      <c r="D6" s="152" t="s">
        <v>75</v>
      </c>
      <c r="E6" s="153">
        <v>1</v>
      </c>
      <c r="F6" s="154">
        <v>44092</v>
      </c>
      <c r="G6" s="147">
        <f>F6*E6</f>
        <v>44092</v>
      </c>
      <c r="H6" s="155">
        <f t="shared" si="0"/>
        <v>0.18234904880066172</v>
      </c>
      <c r="I6" s="149" t="s">
        <v>132</v>
      </c>
      <c r="K6" s="156"/>
    </row>
    <row r="7" spans="2:13" x14ac:dyDescent="0.25">
      <c r="B7" s="143">
        <v>4</v>
      </c>
      <c r="C7" s="144" t="s">
        <v>102</v>
      </c>
      <c r="D7" s="1" t="s">
        <v>134</v>
      </c>
      <c r="E7" s="153">
        <v>1</v>
      </c>
      <c r="F7" s="146">
        <v>475000</v>
      </c>
      <c r="G7" s="147">
        <f t="shared" ref="G7:G22" si="1">F7*E7</f>
        <v>475000</v>
      </c>
      <c r="H7" s="148">
        <f t="shared" si="0"/>
        <v>1.9644334160463193</v>
      </c>
      <c r="I7" s="149" t="s">
        <v>132</v>
      </c>
      <c r="K7" s="156"/>
    </row>
    <row r="8" spans="2:13" ht="20.25" customHeight="1" x14ac:dyDescent="0.25">
      <c r="B8" s="143">
        <v>5</v>
      </c>
      <c r="C8" s="157" t="s">
        <v>135</v>
      </c>
      <c r="D8" s="1" t="s">
        <v>134</v>
      </c>
      <c r="E8" s="153">
        <v>1</v>
      </c>
      <c r="F8" s="146">
        <v>500000</v>
      </c>
      <c r="G8" s="147">
        <f t="shared" si="1"/>
        <v>500000</v>
      </c>
      <c r="H8" s="148">
        <f t="shared" si="0"/>
        <v>2.0678246484698097</v>
      </c>
      <c r="I8" s="149" t="s">
        <v>132</v>
      </c>
      <c r="K8" s="156"/>
    </row>
    <row r="9" spans="2:13" x14ac:dyDescent="0.25">
      <c r="B9" s="143">
        <v>6</v>
      </c>
      <c r="C9" s="158" t="s">
        <v>136</v>
      </c>
      <c r="D9" s="1" t="s">
        <v>75</v>
      </c>
      <c r="E9" s="145">
        <v>1</v>
      </c>
      <c r="F9" s="159">
        <v>67014</v>
      </c>
      <c r="G9" s="147">
        <f t="shared" si="1"/>
        <v>67014</v>
      </c>
      <c r="H9" s="148">
        <f t="shared" si="0"/>
        <v>0.2771464019851117</v>
      </c>
      <c r="I9" s="149" t="s">
        <v>132</v>
      </c>
      <c r="K9" s="160"/>
      <c r="L9" s="161"/>
      <c r="M9" s="151"/>
    </row>
    <row r="10" spans="2:13" x14ac:dyDescent="0.25">
      <c r="B10" s="143">
        <v>7</v>
      </c>
      <c r="C10" s="2" t="s">
        <v>137</v>
      </c>
      <c r="D10" s="162"/>
      <c r="E10" s="163">
        <v>10</v>
      </c>
      <c r="F10" s="164">
        <v>830</v>
      </c>
      <c r="G10" s="147">
        <f t="shared" si="1"/>
        <v>8300</v>
      </c>
      <c r="H10" s="148">
        <f t="shared" si="0"/>
        <v>3.432588916459884E-2</v>
      </c>
      <c r="I10" s="149" t="s">
        <v>132</v>
      </c>
      <c r="K10" s="160"/>
      <c r="L10" s="161"/>
      <c r="M10" s="151"/>
    </row>
    <row r="11" spans="2:13" x14ac:dyDescent="0.25">
      <c r="B11" s="143">
        <v>8</v>
      </c>
      <c r="C11" s="2" t="s">
        <v>138</v>
      </c>
      <c r="D11" s="162"/>
      <c r="E11" s="163">
        <v>1</v>
      </c>
      <c r="F11" s="164">
        <v>5720</v>
      </c>
      <c r="G11" s="147">
        <f t="shared" si="1"/>
        <v>5720</v>
      </c>
      <c r="H11" s="148">
        <f t="shared" si="0"/>
        <v>2.3655913978494623E-2</v>
      </c>
      <c r="I11" s="149" t="s">
        <v>132</v>
      </c>
      <c r="K11" s="160"/>
      <c r="L11" s="161"/>
      <c r="M11" s="151"/>
    </row>
    <row r="12" spans="2:13" x14ac:dyDescent="0.25">
      <c r="B12" s="143">
        <v>9</v>
      </c>
      <c r="C12" s="2" t="s">
        <v>139</v>
      </c>
      <c r="D12" s="162"/>
      <c r="E12" s="163">
        <v>5</v>
      </c>
      <c r="F12" s="164">
        <v>690</v>
      </c>
      <c r="G12" s="147">
        <f t="shared" si="1"/>
        <v>3450</v>
      </c>
      <c r="H12" s="148">
        <f t="shared" si="0"/>
        <v>1.4267990074441687E-2</v>
      </c>
      <c r="I12" s="149" t="s">
        <v>132</v>
      </c>
      <c r="K12" s="160"/>
      <c r="L12" s="161"/>
      <c r="M12" s="151"/>
    </row>
    <row r="13" spans="2:13" x14ac:dyDescent="0.25">
      <c r="B13" s="143">
        <v>10</v>
      </c>
      <c r="C13" s="2" t="s">
        <v>140</v>
      </c>
      <c r="D13" s="162"/>
      <c r="E13" s="163">
        <v>5</v>
      </c>
      <c r="F13" s="164">
        <v>670</v>
      </c>
      <c r="G13" s="147">
        <f t="shared" si="1"/>
        <v>3350</v>
      </c>
      <c r="H13" s="148">
        <f t="shared" si="0"/>
        <v>1.3854425144747724E-2</v>
      </c>
      <c r="I13" s="149" t="s">
        <v>132</v>
      </c>
      <c r="K13" s="160"/>
      <c r="L13" s="161"/>
      <c r="M13" s="151"/>
    </row>
    <row r="14" spans="2:13" x14ac:dyDescent="0.25">
      <c r="B14" s="143">
        <v>11</v>
      </c>
      <c r="C14" s="2" t="s">
        <v>101</v>
      </c>
      <c r="D14" s="162"/>
      <c r="E14" s="163">
        <v>1</v>
      </c>
      <c r="F14" s="164">
        <v>65740</v>
      </c>
      <c r="G14" s="147">
        <f t="shared" si="1"/>
        <v>65740</v>
      </c>
      <c r="H14" s="148">
        <f t="shared" si="0"/>
        <v>0.27187758478081059</v>
      </c>
      <c r="I14" s="149" t="s">
        <v>132</v>
      </c>
      <c r="K14" s="160"/>
      <c r="L14" s="161"/>
      <c r="M14" s="151"/>
    </row>
    <row r="15" spans="2:13" x14ac:dyDescent="0.25">
      <c r="B15" s="143">
        <v>12</v>
      </c>
      <c r="C15" s="2" t="s">
        <v>141</v>
      </c>
      <c r="D15" s="162"/>
      <c r="E15" s="163">
        <v>1</v>
      </c>
      <c r="F15" s="164">
        <v>245000</v>
      </c>
      <c r="G15" s="147">
        <f t="shared" si="1"/>
        <v>245000</v>
      </c>
      <c r="H15" s="148">
        <f t="shared" si="0"/>
        <v>1.0132340777502067</v>
      </c>
      <c r="I15" s="149" t="s">
        <v>132</v>
      </c>
      <c r="K15" s="160"/>
      <c r="L15" s="161"/>
      <c r="M15" s="151"/>
    </row>
    <row r="16" spans="2:13" x14ac:dyDescent="0.25">
      <c r="B16" s="143">
        <v>13</v>
      </c>
      <c r="C16" s="2" t="s">
        <v>142</v>
      </c>
      <c r="D16" s="162"/>
      <c r="E16" s="163">
        <v>6</v>
      </c>
      <c r="F16" s="164">
        <v>1550</v>
      </c>
      <c r="G16" s="147">
        <f t="shared" si="1"/>
        <v>9300</v>
      </c>
      <c r="H16" s="148">
        <f t="shared" si="0"/>
        <v>3.8461538461538464E-2</v>
      </c>
      <c r="I16" s="149" t="s">
        <v>132</v>
      </c>
      <c r="K16" s="160"/>
      <c r="L16" s="161"/>
      <c r="M16" s="151"/>
    </row>
    <row r="17" spans="2:14" x14ac:dyDescent="0.25">
      <c r="B17" s="143">
        <v>14</v>
      </c>
      <c r="C17" s="2" t="s">
        <v>143</v>
      </c>
      <c r="D17" s="162"/>
      <c r="E17" s="163">
        <v>6</v>
      </c>
      <c r="F17" s="164">
        <v>2530</v>
      </c>
      <c r="G17" s="147">
        <f t="shared" si="1"/>
        <v>15180</v>
      </c>
      <c r="H17" s="148">
        <f t="shared" si="0"/>
        <v>6.2779156327543426E-2</v>
      </c>
      <c r="I17" s="149" t="s">
        <v>132</v>
      </c>
      <c r="K17" s="160"/>
      <c r="L17" s="161"/>
      <c r="M17" s="151"/>
    </row>
    <row r="18" spans="2:14" x14ac:dyDescent="0.25">
      <c r="B18" s="143">
        <v>15</v>
      </c>
      <c r="C18" s="2" t="s">
        <v>144</v>
      </c>
      <c r="D18" s="162"/>
      <c r="E18" s="163">
        <v>2</v>
      </c>
      <c r="F18" s="164">
        <v>4890</v>
      </c>
      <c r="G18" s="147">
        <f t="shared" si="1"/>
        <v>9780</v>
      </c>
      <c r="H18" s="148">
        <f t="shared" si="0"/>
        <v>4.0446650124069478E-2</v>
      </c>
      <c r="I18" s="149" t="s">
        <v>132</v>
      </c>
      <c r="K18" s="160"/>
      <c r="L18" s="161"/>
      <c r="M18" s="151"/>
    </row>
    <row r="19" spans="2:14" x14ac:dyDescent="0.25">
      <c r="B19" s="143">
        <v>16</v>
      </c>
      <c r="C19" s="2" t="s">
        <v>145</v>
      </c>
      <c r="D19" s="162"/>
      <c r="E19" s="163">
        <v>1</v>
      </c>
      <c r="F19" s="164">
        <v>610</v>
      </c>
      <c r="G19" s="147">
        <f t="shared" si="1"/>
        <v>610</v>
      </c>
      <c r="H19" s="148">
        <f t="shared" si="0"/>
        <v>2.5227460711331677E-3</v>
      </c>
      <c r="I19" s="149" t="s">
        <v>132</v>
      </c>
      <c r="K19" s="160"/>
      <c r="L19" s="161"/>
      <c r="M19" s="151"/>
    </row>
    <row r="20" spans="2:14" x14ac:dyDescent="0.25">
      <c r="B20" s="143">
        <v>17</v>
      </c>
      <c r="C20" s="2" t="s">
        <v>146</v>
      </c>
      <c r="D20" s="162"/>
      <c r="E20" s="163">
        <v>1</v>
      </c>
      <c r="F20" s="164">
        <v>3155</v>
      </c>
      <c r="G20" s="147">
        <f t="shared" si="1"/>
        <v>3155</v>
      </c>
      <c r="H20" s="148">
        <f t="shared" si="0"/>
        <v>1.30479735318445E-2</v>
      </c>
      <c r="I20" s="149" t="s">
        <v>132</v>
      </c>
      <c r="K20" s="160"/>
      <c r="L20" s="161"/>
      <c r="M20" s="151"/>
    </row>
    <row r="21" spans="2:14" ht="15.75" thickBot="1" x14ac:dyDescent="0.3">
      <c r="B21" s="143">
        <v>18</v>
      </c>
      <c r="C21" s="2" t="s">
        <v>147</v>
      </c>
      <c r="D21" s="162"/>
      <c r="E21" s="163">
        <v>1</v>
      </c>
      <c r="F21" s="164">
        <v>94500</v>
      </c>
      <c r="G21" s="147">
        <f t="shared" si="1"/>
        <v>94500</v>
      </c>
      <c r="H21" s="148">
        <f t="shared" si="0"/>
        <v>0.39081885856079401</v>
      </c>
      <c r="I21" s="149" t="s">
        <v>132</v>
      </c>
      <c r="K21" s="160"/>
      <c r="L21" s="161"/>
      <c r="M21" s="151"/>
    </row>
    <row r="22" spans="2:14" ht="14.1" customHeight="1" x14ac:dyDescent="0.25">
      <c r="B22" s="133">
        <v>9</v>
      </c>
      <c r="C22" s="165" t="s">
        <v>148</v>
      </c>
      <c r="D22" s="166"/>
      <c r="E22" s="167">
        <v>1</v>
      </c>
      <c r="F22" s="168">
        <f>40000+150000</f>
        <v>190000</v>
      </c>
      <c r="G22" s="169">
        <f t="shared" si="1"/>
        <v>190000</v>
      </c>
      <c r="H22" s="170">
        <f t="shared" si="0"/>
        <v>0.7857733664185278</v>
      </c>
      <c r="I22" s="171"/>
      <c r="J22" s="172"/>
    </row>
    <row r="23" spans="2:14" ht="14.1" customHeight="1" x14ac:dyDescent="0.25">
      <c r="B23" s="143">
        <v>10</v>
      </c>
      <c r="C23" s="173" t="s">
        <v>92</v>
      </c>
      <c r="D23" s="174"/>
      <c r="E23" s="175">
        <v>0</v>
      </c>
      <c r="F23" s="176">
        <v>0</v>
      </c>
      <c r="G23" s="177">
        <f>E23*F23</f>
        <v>0</v>
      </c>
      <c r="H23" s="178">
        <f t="shared" si="0"/>
        <v>0</v>
      </c>
      <c r="I23" s="179"/>
      <c r="J23" s="172"/>
    </row>
    <row r="24" spans="2:14" ht="14.1" customHeight="1" x14ac:dyDescent="0.25">
      <c r="B24" s="143">
        <v>11</v>
      </c>
      <c r="C24" s="180" t="s">
        <v>149</v>
      </c>
      <c r="D24" s="181"/>
      <c r="E24" s="145">
        <v>0</v>
      </c>
      <c r="F24" s="182">
        <v>0</v>
      </c>
      <c r="G24" s="147">
        <v>309200</v>
      </c>
      <c r="H24" s="148">
        <f>G24/$L$3/$L$4</f>
        <v>1.2787427626137304</v>
      </c>
      <c r="I24" s="149"/>
      <c r="J24" s="172"/>
      <c r="M24" s="151">
        <f>70*310</f>
        <v>21700</v>
      </c>
      <c r="N24" s="172">
        <f>M24*8</f>
        <v>173600</v>
      </c>
    </row>
    <row r="25" spans="2:14" ht="14.1" customHeight="1" x14ac:dyDescent="0.25">
      <c r="B25" s="143">
        <v>12</v>
      </c>
      <c r="C25" s="180" t="s">
        <v>150</v>
      </c>
      <c r="D25" s="181"/>
      <c r="E25" s="145"/>
      <c r="F25" s="182"/>
      <c r="G25" s="183">
        <f>(30000*2+1150*4+30000)*1.1*2</f>
        <v>208120.00000000003</v>
      </c>
      <c r="H25" s="148">
        <f>G25/$L$3/$L$4</f>
        <v>0.86071133167907377</v>
      </c>
      <c r="I25" s="149"/>
      <c r="J25" s="172"/>
      <c r="N25" s="172">
        <f>G4</f>
        <v>145080</v>
      </c>
    </row>
    <row r="26" spans="2:14" x14ac:dyDescent="0.25">
      <c r="B26" s="143">
        <v>13</v>
      </c>
      <c r="C26" s="180" t="s">
        <v>0</v>
      </c>
      <c r="D26" s="181"/>
      <c r="E26" s="184"/>
      <c r="F26" s="185"/>
      <c r="G26" s="147">
        <f>SUM(G5:G21)</f>
        <v>2450191</v>
      </c>
      <c r="H26" s="148">
        <f t="shared" si="0"/>
        <v>10.133130686517783</v>
      </c>
      <c r="I26" s="149"/>
      <c r="J26" s="172"/>
      <c r="N26" s="172">
        <f>N24-N25</f>
        <v>28520</v>
      </c>
    </row>
    <row r="27" spans="2:14" ht="15.75" thickBot="1" x14ac:dyDescent="0.3">
      <c r="B27" s="143">
        <v>14</v>
      </c>
      <c r="C27" s="186" t="s">
        <v>151</v>
      </c>
      <c r="D27" s="187" t="s">
        <v>86</v>
      </c>
      <c r="E27" s="188">
        <v>0</v>
      </c>
      <c r="F27" s="189"/>
      <c r="G27" s="190">
        <f>SUM(G22:G26)*E27</f>
        <v>0</v>
      </c>
      <c r="H27" s="191">
        <f t="shared" si="0"/>
        <v>0</v>
      </c>
      <c r="I27" s="192"/>
      <c r="J27" s="172"/>
    </row>
    <row r="28" spans="2:14" x14ac:dyDescent="0.25">
      <c r="C28" s="193" t="s">
        <v>152</v>
      </c>
      <c r="D28" s="194" t="s">
        <v>86</v>
      </c>
      <c r="E28" s="195">
        <v>0.8</v>
      </c>
      <c r="F28" s="196"/>
      <c r="G28" s="197">
        <f>G4*E28</f>
        <v>116064</v>
      </c>
      <c r="H28" s="198">
        <f t="shared" si="0"/>
        <v>0.48</v>
      </c>
      <c r="I28" s="199"/>
      <c r="J28" s="172"/>
    </row>
    <row r="29" spans="2:14" x14ac:dyDescent="0.25">
      <c r="C29" s="193" t="s">
        <v>153</v>
      </c>
      <c r="D29" s="194"/>
      <c r="E29" s="200"/>
      <c r="F29" s="196"/>
      <c r="G29" s="197">
        <f>G28+G4</f>
        <v>261144</v>
      </c>
      <c r="H29" s="198">
        <f>G29/$L$3/$L$4</f>
        <v>1.08</v>
      </c>
      <c r="I29" s="199">
        <f>H29*L4</f>
        <v>70.2</v>
      </c>
      <c r="J29" s="172"/>
    </row>
    <row r="30" spans="2:14" x14ac:dyDescent="0.25">
      <c r="C30" s="201" t="s">
        <v>154</v>
      </c>
      <c r="D30" s="1" t="s">
        <v>86</v>
      </c>
      <c r="E30" s="202">
        <v>0.1</v>
      </c>
      <c r="F30" s="203"/>
      <c r="G30" s="204">
        <f>(G27+G26+G24+G23+G22+G25)*E30</f>
        <v>315751.10000000003</v>
      </c>
      <c r="H30" s="198">
        <f t="shared" si="0"/>
        <v>1.3058358147229117</v>
      </c>
      <c r="I30" s="199"/>
      <c r="J30" s="172"/>
    </row>
    <row r="31" spans="2:14" x14ac:dyDescent="0.25">
      <c r="C31" s="201" t="s">
        <v>155</v>
      </c>
      <c r="D31" s="1"/>
      <c r="E31" s="205"/>
      <c r="F31" s="203"/>
      <c r="G31" s="204">
        <f>G30+G27+G26+G24+G23+G22+G25</f>
        <v>3473262.1</v>
      </c>
      <c r="H31" s="198">
        <f t="shared" si="0"/>
        <v>14.364193961952026</v>
      </c>
      <c r="I31" s="199"/>
      <c r="J31" s="172"/>
    </row>
    <row r="32" spans="2:14" x14ac:dyDescent="0.25">
      <c r="C32" s="201" t="s">
        <v>110</v>
      </c>
      <c r="D32" s="1"/>
      <c r="E32" s="205"/>
      <c r="F32" s="203"/>
      <c r="G32" s="204">
        <f>G31+G29</f>
        <v>3734406.1</v>
      </c>
      <c r="H32" s="198">
        <f t="shared" si="0"/>
        <v>15.444193961952028</v>
      </c>
      <c r="I32" s="199"/>
      <c r="J32" s="172"/>
    </row>
    <row r="33" spans="1:13" x14ac:dyDescent="0.25">
      <c r="C33" s="201" t="s">
        <v>90</v>
      </c>
      <c r="D33" s="1"/>
      <c r="E33" s="206"/>
      <c r="F33" s="203"/>
      <c r="G33" s="204">
        <f>G32*0.18</f>
        <v>672193.098</v>
      </c>
      <c r="H33" s="198">
        <f t="shared" si="0"/>
        <v>2.7799549131513648</v>
      </c>
      <c r="I33" s="199"/>
      <c r="J33" s="172"/>
    </row>
    <row r="34" spans="1:13" ht="15.75" thickBot="1" x14ac:dyDescent="0.3">
      <c r="C34" s="207" t="s">
        <v>91</v>
      </c>
      <c r="D34" s="208"/>
      <c r="E34" s="209"/>
      <c r="F34" s="210"/>
      <c r="G34" s="211">
        <f>G33+G32</f>
        <v>4406599.1979999999</v>
      </c>
      <c r="H34" s="198">
        <f t="shared" si="0"/>
        <v>18.224148875103392</v>
      </c>
      <c r="I34" s="199"/>
      <c r="J34" s="172"/>
      <c r="K34" s="212"/>
    </row>
    <row r="35" spans="1:13" ht="18" customHeight="1" x14ac:dyDescent="0.25">
      <c r="F35" s="213"/>
      <c r="G35" s="214">
        <f>G34/L3</f>
        <v>1184.5696768817204</v>
      </c>
      <c r="I35" s="215"/>
      <c r="J35" s="172"/>
    </row>
    <row r="36" spans="1:13" ht="19.5" customHeight="1" x14ac:dyDescent="0.25">
      <c r="C36" s="121"/>
      <c r="D36" s="216"/>
      <c r="F36" s="3" t="s">
        <v>156</v>
      </c>
      <c r="G36" s="172"/>
      <c r="J36" s="172"/>
    </row>
    <row r="37" spans="1:13" ht="18.75" x14ac:dyDescent="0.25">
      <c r="C37" s="217" t="s">
        <v>157</v>
      </c>
      <c r="D37" s="218">
        <f>G22+G23+G24+G25+G26+G27+G4</f>
        <v>3302591</v>
      </c>
      <c r="I37" s="3" t="s">
        <v>158</v>
      </c>
    </row>
    <row r="38" spans="1:13" ht="18.75" x14ac:dyDescent="0.25">
      <c r="C38" s="217" t="s">
        <v>159</v>
      </c>
      <c r="D38" s="218">
        <f>G32</f>
        <v>3734406.1</v>
      </c>
      <c r="I38" s="219">
        <f>$G$29/$E$4/300</f>
        <v>72.540000000000006</v>
      </c>
    </row>
    <row r="39" spans="1:13" s="4" customFormat="1" ht="18.75" x14ac:dyDescent="0.25">
      <c r="A39" s="121"/>
      <c r="B39" s="3"/>
      <c r="C39" s="217" t="s">
        <v>160</v>
      </c>
      <c r="D39" s="218">
        <f>G30+G28</f>
        <v>431815.10000000003</v>
      </c>
      <c r="E39" s="3"/>
      <c r="F39" s="3"/>
      <c r="G39" s="3"/>
      <c r="H39" s="3"/>
      <c r="I39" s="3"/>
      <c r="J39" s="3"/>
      <c r="K39" s="3"/>
      <c r="L39" s="3"/>
      <c r="M39" s="3"/>
    </row>
    <row r="40" spans="1:13" ht="18.75" x14ac:dyDescent="0.25">
      <c r="C40" s="217" t="s">
        <v>161</v>
      </c>
      <c r="D40" s="220">
        <f>D39/G32</f>
        <v>0.11563153241421709</v>
      </c>
    </row>
    <row r="44" spans="1:13" ht="15.75" thickBot="1" x14ac:dyDescent="0.3"/>
    <row r="45" spans="1:13" x14ac:dyDescent="0.25">
      <c r="C45" s="221" t="s">
        <v>163</v>
      </c>
      <c r="D45" s="222">
        <v>3</v>
      </c>
    </row>
    <row r="46" spans="1:13" x14ac:dyDescent="0.25">
      <c r="C46" s="223" t="s">
        <v>164</v>
      </c>
      <c r="D46" s="224">
        <v>1</v>
      </c>
    </row>
    <row r="47" spans="1:13" x14ac:dyDescent="0.25">
      <c r="C47" s="223" t="s">
        <v>165</v>
      </c>
      <c r="D47" s="224">
        <v>1</v>
      </c>
    </row>
    <row r="48" spans="1:13" ht="15.75" x14ac:dyDescent="0.25">
      <c r="C48" s="241" t="s">
        <v>248</v>
      </c>
      <c r="D48" s="357">
        <v>1</v>
      </c>
    </row>
  </sheetData>
  <mergeCells count="1">
    <mergeCell ref="K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FF0000"/>
  </sheetPr>
  <dimension ref="A1:M43"/>
  <sheetViews>
    <sheetView workbookViewId="0">
      <selection activeCell="E29" sqref="E29"/>
    </sheetView>
  </sheetViews>
  <sheetFormatPr defaultRowHeight="15" x14ac:dyDescent="0.25"/>
  <cols>
    <col min="3" max="3" width="72.5703125" bestFit="1" customWidth="1"/>
    <col min="5" max="5" width="10.42578125" bestFit="1" customWidth="1"/>
    <col min="6" max="6" width="20.85546875" customWidth="1"/>
    <col min="7" max="7" width="21.42578125" customWidth="1"/>
    <col min="8" max="8" width="10.85546875" bestFit="1" customWidth="1"/>
    <col min="9" max="9" width="15" customWidth="1"/>
    <col min="11" max="11" width="22" bestFit="1" customWidth="1"/>
  </cols>
  <sheetData>
    <row r="1" spans="2:13" ht="15.75" thickBot="1" x14ac:dyDescent="0.3">
      <c r="B1" s="24"/>
      <c r="C1" s="24"/>
      <c r="D1" s="24"/>
      <c r="E1" s="24"/>
      <c r="F1" s="33"/>
      <c r="G1" s="24"/>
      <c r="H1" s="24"/>
      <c r="I1" s="24"/>
      <c r="J1" s="24"/>
      <c r="K1" s="24"/>
      <c r="L1" s="24"/>
      <c r="M1" s="24"/>
    </row>
    <row r="2" spans="2:13" ht="15.75" thickBot="1" x14ac:dyDescent="0.3">
      <c r="B2" s="24"/>
      <c r="C2" s="34" t="s">
        <v>120</v>
      </c>
      <c r="D2" s="34">
        <f>E4*0.31</f>
        <v>1.24</v>
      </c>
      <c r="E2" s="34" t="s">
        <v>64</v>
      </c>
      <c r="F2" s="27">
        <v>2</v>
      </c>
      <c r="G2" s="35" t="s">
        <v>65</v>
      </c>
      <c r="H2" s="27">
        <v>2</v>
      </c>
      <c r="I2" s="27" t="s">
        <v>66</v>
      </c>
      <c r="J2" s="24"/>
      <c r="K2" s="36" t="s">
        <v>67</v>
      </c>
      <c r="L2" s="24"/>
      <c r="M2" s="24"/>
    </row>
    <row r="3" spans="2:13" ht="30.75" thickBot="1" x14ac:dyDescent="0.3">
      <c r="B3" s="37" t="s">
        <v>33</v>
      </c>
      <c r="C3" s="38" t="s">
        <v>0</v>
      </c>
      <c r="D3" s="39" t="s">
        <v>68</v>
      </c>
      <c r="E3" s="40" t="s">
        <v>69</v>
      </c>
      <c r="F3" s="41" t="s">
        <v>70</v>
      </c>
      <c r="G3" s="41" t="s">
        <v>71</v>
      </c>
      <c r="H3" s="42" t="s">
        <v>72</v>
      </c>
      <c r="I3" s="43" t="s">
        <v>73</v>
      </c>
      <c r="J3" s="24"/>
      <c r="K3" s="44" t="s">
        <v>74</v>
      </c>
      <c r="L3" s="45">
        <f>D2*1000</f>
        <v>1240</v>
      </c>
      <c r="M3" s="24"/>
    </row>
    <row r="4" spans="2:13" ht="15.75" thickBot="1" x14ac:dyDescent="0.3">
      <c r="B4" s="46">
        <v>1</v>
      </c>
      <c r="C4" s="47" t="s">
        <v>105</v>
      </c>
      <c r="D4" s="48" t="s">
        <v>75</v>
      </c>
      <c r="E4" s="49">
        <v>4</v>
      </c>
      <c r="F4" s="50">
        <f>0.29*L4*310</f>
        <v>5933.3999999999987</v>
      </c>
      <c r="G4" s="50">
        <f>F4*E4</f>
        <v>23733.599999999995</v>
      </c>
      <c r="H4" s="98">
        <f>G4/$L$3/$L$4</f>
        <v>0.28999999999999998</v>
      </c>
      <c r="I4" s="51"/>
      <c r="J4" s="24"/>
      <c r="K4" s="52" t="s">
        <v>76</v>
      </c>
      <c r="L4" s="53">
        <v>66</v>
      </c>
      <c r="M4" s="24"/>
    </row>
    <row r="5" spans="2:13" ht="15.75" thickBot="1" x14ac:dyDescent="0.3">
      <c r="B5" s="99">
        <v>2</v>
      </c>
      <c r="C5" s="100" t="s">
        <v>106</v>
      </c>
      <c r="D5" s="101" t="s">
        <v>75</v>
      </c>
      <c r="E5" s="102">
        <v>1</v>
      </c>
      <c r="F5" s="103">
        <v>10000</v>
      </c>
      <c r="G5" s="104">
        <f>E5*F5</f>
        <v>10000</v>
      </c>
      <c r="H5" s="105">
        <f t="shared" ref="H5:H19" si="0">G5/$L$3/$L$4</f>
        <v>0.12218963831867058</v>
      </c>
      <c r="I5" s="58"/>
      <c r="J5" s="24"/>
      <c r="K5" s="52" t="s">
        <v>77</v>
      </c>
      <c r="L5" s="59">
        <v>76</v>
      </c>
      <c r="M5" s="60"/>
    </row>
    <row r="6" spans="2:13" x14ac:dyDescent="0.25">
      <c r="B6" s="99">
        <v>3</v>
      </c>
      <c r="C6" s="100" t="s">
        <v>123</v>
      </c>
      <c r="D6" s="101" t="s">
        <v>75</v>
      </c>
      <c r="E6" s="102">
        <v>1</v>
      </c>
      <c r="F6" s="103">
        <f>759*L5</f>
        <v>57684</v>
      </c>
      <c r="G6" s="104">
        <f>F6*E6</f>
        <v>57684</v>
      </c>
      <c r="H6" s="105">
        <f t="shared" si="0"/>
        <v>0.70483870967741935</v>
      </c>
      <c r="I6" s="58"/>
      <c r="J6" s="24"/>
      <c r="K6" s="119"/>
      <c r="L6" s="120"/>
      <c r="M6" s="60"/>
    </row>
    <row r="7" spans="2:13" x14ac:dyDescent="0.25">
      <c r="B7" s="46">
        <v>5</v>
      </c>
      <c r="C7" s="54" t="s">
        <v>108</v>
      </c>
      <c r="D7" s="48" t="s">
        <v>78</v>
      </c>
      <c r="E7" s="55">
        <v>50</v>
      </c>
      <c r="F7" s="56">
        <v>50.2</v>
      </c>
      <c r="G7" s="57">
        <f>F7*E7</f>
        <v>2510</v>
      </c>
      <c r="H7" s="98">
        <f t="shared" si="0"/>
        <v>3.0669599217986319E-2</v>
      </c>
      <c r="I7" s="58"/>
      <c r="J7" s="24"/>
      <c r="K7" s="24"/>
      <c r="L7" s="24"/>
      <c r="M7" s="24"/>
    </row>
    <row r="8" spans="2:13" x14ac:dyDescent="0.25">
      <c r="B8" s="46">
        <v>6</v>
      </c>
      <c r="C8" s="54" t="s">
        <v>112</v>
      </c>
      <c r="D8" s="48" t="s">
        <v>75</v>
      </c>
      <c r="E8" s="55">
        <v>2</v>
      </c>
      <c r="F8" s="56">
        <v>24982</v>
      </c>
      <c r="G8" s="57">
        <f>F8*E8</f>
        <v>49964</v>
      </c>
      <c r="H8" s="98">
        <f t="shared" si="0"/>
        <v>0.61050830889540575</v>
      </c>
      <c r="I8" s="58"/>
      <c r="J8" s="24"/>
      <c r="K8" s="27">
        <f>24*200/1000</f>
        <v>4.8</v>
      </c>
      <c r="L8" s="27" t="s">
        <v>80</v>
      </c>
      <c r="M8" s="24"/>
    </row>
    <row r="9" spans="2:13" x14ac:dyDescent="0.25">
      <c r="B9" s="46">
        <v>7</v>
      </c>
      <c r="C9" s="54" t="s">
        <v>81</v>
      </c>
      <c r="D9" s="48" t="s">
        <v>75</v>
      </c>
      <c r="E9" s="49">
        <v>1</v>
      </c>
      <c r="F9" s="56">
        <v>1500</v>
      </c>
      <c r="G9" s="57">
        <f>F9*E9</f>
        <v>1500</v>
      </c>
      <c r="H9" s="98">
        <f t="shared" si="0"/>
        <v>1.8328445747800588E-2</v>
      </c>
      <c r="I9" s="58"/>
      <c r="J9" s="24"/>
      <c r="K9" s="24"/>
      <c r="L9" s="24"/>
      <c r="M9" s="24"/>
    </row>
    <row r="10" spans="2:13" ht="15.75" thickBot="1" x14ac:dyDescent="0.3">
      <c r="B10" s="46">
        <v>8</v>
      </c>
      <c r="C10" s="61" t="s">
        <v>124</v>
      </c>
      <c r="D10" s="92" t="s">
        <v>75</v>
      </c>
      <c r="E10" s="62">
        <v>1</v>
      </c>
      <c r="F10" s="63">
        <v>1000</v>
      </c>
      <c r="G10" s="63">
        <f>F10*E10</f>
        <v>1000</v>
      </c>
      <c r="H10" s="107">
        <f t="shared" si="0"/>
        <v>1.2218963831867057E-2</v>
      </c>
      <c r="I10" s="64"/>
      <c r="J10" s="24"/>
      <c r="K10" s="24"/>
      <c r="L10" s="24"/>
      <c r="M10" s="24"/>
    </row>
    <row r="11" spans="2:13" x14ac:dyDescent="0.25">
      <c r="B11" s="46">
        <v>9</v>
      </c>
      <c r="C11" s="93" t="s">
        <v>82</v>
      </c>
      <c r="D11" s="65"/>
      <c r="E11" s="66"/>
      <c r="F11" s="67"/>
      <c r="G11" s="94">
        <f>SUM(G4:G10)</f>
        <v>146391.59999999998</v>
      </c>
      <c r="H11" s="109">
        <f t="shared" si="0"/>
        <v>1.7887536656891492</v>
      </c>
      <c r="I11" s="68"/>
      <c r="J11" s="29"/>
      <c r="K11" s="24"/>
      <c r="L11" s="24"/>
      <c r="M11" s="24"/>
    </row>
    <row r="12" spans="2:13" x14ac:dyDescent="0.25">
      <c r="B12" s="46">
        <v>10</v>
      </c>
      <c r="C12" s="95" t="s">
        <v>83</v>
      </c>
      <c r="D12" s="91"/>
      <c r="E12" s="55">
        <v>0</v>
      </c>
      <c r="F12" s="57">
        <v>0</v>
      </c>
      <c r="G12" s="69">
        <v>0</v>
      </c>
      <c r="H12" s="108">
        <f t="shared" si="0"/>
        <v>0</v>
      </c>
      <c r="I12" s="97"/>
      <c r="J12" s="29"/>
      <c r="K12" s="24"/>
      <c r="L12" s="24"/>
      <c r="M12" s="24"/>
    </row>
    <row r="13" spans="2:13" x14ac:dyDescent="0.25">
      <c r="B13" s="46">
        <v>11</v>
      </c>
      <c r="C13" s="95" t="s">
        <v>84</v>
      </c>
      <c r="D13" s="91"/>
      <c r="E13" s="55">
        <v>0</v>
      </c>
      <c r="F13" s="57">
        <v>0</v>
      </c>
      <c r="G13" s="69">
        <v>0</v>
      </c>
      <c r="H13" s="108">
        <f t="shared" si="0"/>
        <v>0</v>
      </c>
      <c r="I13" s="97"/>
      <c r="J13" s="29"/>
      <c r="K13" s="24"/>
      <c r="L13" s="24"/>
      <c r="M13" s="24"/>
    </row>
    <row r="14" spans="2:13" ht="15.75" thickBot="1" x14ac:dyDescent="0.3">
      <c r="B14" s="46">
        <v>12</v>
      </c>
      <c r="C14" s="96" t="s">
        <v>85</v>
      </c>
      <c r="D14" s="70" t="s">
        <v>86</v>
      </c>
      <c r="E14" s="71">
        <v>0</v>
      </c>
      <c r="F14" s="72"/>
      <c r="G14" s="73">
        <v>0</v>
      </c>
      <c r="H14" s="110">
        <f t="shared" si="0"/>
        <v>0</v>
      </c>
      <c r="I14" s="74"/>
      <c r="J14" s="29"/>
      <c r="K14" s="24"/>
      <c r="L14" s="24"/>
      <c r="M14" s="24"/>
    </row>
    <row r="15" spans="2:13" x14ac:dyDescent="0.25">
      <c r="B15" s="24"/>
      <c r="C15" s="111" t="s">
        <v>87</v>
      </c>
      <c r="D15" s="112"/>
      <c r="E15" s="113"/>
      <c r="F15" s="114"/>
      <c r="G15" s="115">
        <f>SUM(G11:G14)</f>
        <v>146391.59999999998</v>
      </c>
      <c r="H15" s="116">
        <f t="shared" si="0"/>
        <v>1.7887536656891492</v>
      </c>
      <c r="I15" s="75"/>
      <c r="J15" s="29"/>
      <c r="K15" s="24"/>
      <c r="L15" s="24"/>
      <c r="M15" s="24"/>
    </row>
    <row r="16" spans="2:13" x14ac:dyDescent="0.25">
      <c r="B16" s="24"/>
      <c r="C16" s="76" t="s">
        <v>109</v>
      </c>
      <c r="D16" s="46" t="s">
        <v>86</v>
      </c>
      <c r="E16" s="77">
        <v>0</v>
      </c>
      <c r="F16" s="28"/>
      <c r="G16" s="78">
        <f>G15*E16</f>
        <v>0</v>
      </c>
      <c r="H16" s="117">
        <f t="shared" si="0"/>
        <v>0</v>
      </c>
      <c r="I16" s="75"/>
      <c r="J16" s="29"/>
      <c r="K16" s="24"/>
      <c r="L16" s="24"/>
      <c r="M16" s="24"/>
    </row>
    <row r="17" spans="1:13" x14ac:dyDescent="0.25">
      <c r="A17" s="24"/>
      <c r="B17" s="24"/>
      <c r="C17" s="76" t="s">
        <v>110</v>
      </c>
      <c r="D17" s="46"/>
      <c r="E17" s="77"/>
      <c r="F17" s="28"/>
      <c r="G17" s="78">
        <f>G15+G16</f>
        <v>146391.59999999998</v>
      </c>
      <c r="H17" s="117">
        <f t="shared" si="0"/>
        <v>1.7887536656891492</v>
      </c>
      <c r="I17" s="75"/>
      <c r="J17" s="29"/>
      <c r="K17" s="24"/>
      <c r="L17" s="24"/>
      <c r="M17" s="24"/>
    </row>
    <row r="18" spans="1:13" x14ac:dyDescent="0.25">
      <c r="A18" s="24"/>
      <c r="B18" s="24"/>
      <c r="C18" s="76" t="s">
        <v>90</v>
      </c>
      <c r="D18" s="46"/>
      <c r="E18" s="79"/>
      <c r="F18" s="28"/>
      <c r="G18" s="78">
        <f>G17*0.18</f>
        <v>26350.487999999994</v>
      </c>
      <c r="H18" s="117">
        <f t="shared" si="0"/>
        <v>0.32197565982404686</v>
      </c>
      <c r="I18" s="75"/>
      <c r="J18" s="29"/>
      <c r="K18" s="24"/>
      <c r="L18" s="24"/>
      <c r="M18" s="24"/>
    </row>
    <row r="19" spans="1:13" ht="15.75" thickBot="1" x14ac:dyDescent="0.3">
      <c r="A19" s="24"/>
      <c r="B19" s="24"/>
      <c r="C19" s="80" t="s">
        <v>91</v>
      </c>
      <c r="D19" s="81"/>
      <c r="E19" s="82"/>
      <c r="F19" s="83"/>
      <c r="G19" s="84">
        <f>G17+G18</f>
        <v>172742.08799999996</v>
      </c>
      <c r="H19" s="118">
        <f t="shared" si="0"/>
        <v>2.110729325513196</v>
      </c>
      <c r="I19" s="85"/>
      <c r="J19" s="29"/>
      <c r="K19" s="86"/>
      <c r="L19" s="24"/>
      <c r="M19" s="24"/>
    </row>
    <row r="20" spans="1:13" x14ac:dyDescent="0.25">
      <c r="A20" s="24"/>
      <c r="B20" s="24"/>
      <c r="C20" s="106" t="s">
        <v>113</v>
      </c>
      <c r="D20" s="24"/>
      <c r="E20" s="24"/>
      <c r="F20" s="31"/>
      <c r="G20" s="31"/>
      <c r="H20" s="24"/>
      <c r="I20" s="24"/>
      <c r="J20" s="29"/>
      <c r="K20" s="24"/>
      <c r="L20" s="24"/>
      <c r="M20" s="24"/>
    </row>
    <row r="21" spans="1:13" x14ac:dyDescent="0.25">
      <c r="A21" s="24"/>
      <c r="B21" s="24"/>
      <c r="C21" s="106" t="s">
        <v>107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x14ac:dyDescent="0.25">
      <c r="A22" s="25"/>
      <c r="B22" s="27"/>
      <c r="C22" s="32"/>
      <c r="D22" s="26"/>
      <c r="E22" s="27"/>
      <c r="F22" s="27"/>
      <c r="G22" s="27"/>
      <c r="H22" s="27"/>
      <c r="I22" s="27"/>
      <c r="J22" s="27"/>
      <c r="K22" s="27"/>
      <c r="L22" s="27"/>
      <c r="M22" s="27"/>
    </row>
    <row r="23" spans="1:13" x14ac:dyDescent="0.25">
      <c r="D23" s="24"/>
      <c r="E23" s="24"/>
      <c r="F23" s="24"/>
      <c r="G23" s="24"/>
    </row>
    <row r="26" spans="1:13" x14ac:dyDescent="0.25">
      <c r="D26" s="24"/>
      <c r="E26" s="24"/>
      <c r="F26" s="24"/>
      <c r="G26" s="87"/>
    </row>
    <row r="27" spans="1:13" x14ac:dyDescent="0.25">
      <c r="D27" s="24"/>
      <c r="E27" s="24"/>
      <c r="F27" s="56"/>
      <c r="G27" s="24"/>
    </row>
    <row r="32" spans="1:13" x14ac:dyDescent="0.25">
      <c r="D32" s="88"/>
      <c r="E32" s="89"/>
      <c r="F32" s="24"/>
      <c r="G32" s="24"/>
    </row>
    <row r="33" spans="4:8" x14ac:dyDescent="0.25">
      <c r="D33" s="24"/>
      <c r="E33" s="89"/>
      <c r="F33" s="24"/>
      <c r="G33" s="24"/>
    </row>
    <row r="36" spans="4:8" x14ac:dyDescent="0.25">
      <c r="D36" s="24"/>
      <c r="E36" s="24"/>
      <c r="F36" s="90"/>
      <c r="G36" s="24"/>
    </row>
    <row r="40" spans="4:8" x14ac:dyDescent="0.25">
      <c r="D40" s="24"/>
      <c r="E40" s="24"/>
      <c r="F40" s="90"/>
      <c r="G40" s="24"/>
      <c r="H40" s="24"/>
    </row>
    <row r="42" spans="4:8" x14ac:dyDescent="0.25">
      <c r="D42" s="88"/>
      <c r="E42" s="89"/>
      <c r="F42" s="24"/>
      <c r="G42" s="24"/>
      <c r="H42" s="24"/>
    </row>
    <row r="43" spans="4:8" x14ac:dyDescent="0.25">
      <c r="D43" s="88"/>
      <c r="E43" s="89"/>
      <c r="F43" s="24"/>
      <c r="G43" s="90"/>
      <c r="H43" s="9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FF0000"/>
  </sheetPr>
  <dimension ref="A1:M44"/>
  <sheetViews>
    <sheetView workbookViewId="0">
      <selection activeCell="C9" sqref="C9"/>
    </sheetView>
  </sheetViews>
  <sheetFormatPr defaultRowHeight="15" x14ac:dyDescent="0.25"/>
  <cols>
    <col min="3" max="3" width="72.5703125" bestFit="1" customWidth="1"/>
    <col min="5" max="5" width="10.42578125" bestFit="1" customWidth="1"/>
    <col min="6" max="6" width="20.85546875" customWidth="1"/>
    <col min="7" max="7" width="21.42578125" customWidth="1"/>
    <col min="8" max="8" width="10.85546875" bestFit="1" customWidth="1"/>
    <col min="9" max="9" width="15" customWidth="1"/>
    <col min="11" max="11" width="22" bestFit="1" customWidth="1"/>
  </cols>
  <sheetData>
    <row r="1" spans="2:13" ht="15.75" thickBot="1" x14ac:dyDescent="0.3">
      <c r="B1" s="24"/>
      <c r="C1" s="24"/>
      <c r="D1" s="24"/>
      <c r="E1" s="24"/>
      <c r="F1" s="33"/>
      <c r="G1" s="24"/>
      <c r="H1" s="24"/>
      <c r="I1" s="24"/>
      <c r="J1" s="24"/>
      <c r="K1" s="24"/>
      <c r="L1" s="24"/>
      <c r="M1" s="24"/>
    </row>
    <row r="2" spans="2:13" ht="15.75" thickBot="1" x14ac:dyDescent="0.3">
      <c r="B2" s="24"/>
      <c r="C2" s="34" t="s">
        <v>116</v>
      </c>
      <c r="D2" s="34">
        <f>E4*0.31</f>
        <v>2.48</v>
      </c>
      <c r="E2" s="34" t="s">
        <v>64</v>
      </c>
      <c r="F2" s="27">
        <v>2</v>
      </c>
      <c r="G2" s="35" t="s">
        <v>65</v>
      </c>
      <c r="H2" s="27">
        <v>4</v>
      </c>
      <c r="I2" s="27" t="s">
        <v>66</v>
      </c>
      <c r="J2" s="24"/>
      <c r="K2" s="36" t="s">
        <v>67</v>
      </c>
      <c r="L2" s="24"/>
      <c r="M2" s="24"/>
    </row>
    <row r="3" spans="2:13" ht="30.75" thickBot="1" x14ac:dyDescent="0.3">
      <c r="B3" s="37" t="s">
        <v>33</v>
      </c>
      <c r="C3" s="38" t="s">
        <v>0</v>
      </c>
      <c r="D3" s="39" t="s">
        <v>68</v>
      </c>
      <c r="E3" s="40" t="s">
        <v>69</v>
      </c>
      <c r="F3" s="41" t="s">
        <v>70</v>
      </c>
      <c r="G3" s="41" t="s">
        <v>71</v>
      </c>
      <c r="H3" s="42" t="s">
        <v>72</v>
      </c>
      <c r="I3" s="43" t="s">
        <v>73</v>
      </c>
      <c r="J3" s="24"/>
      <c r="K3" s="44" t="s">
        <v>74</v>
      </c>
      <c r="L3" s="45">
        <f>D2*1000</f>
        <v>2480</v>
      </c>
      <c r="M3" s="24"/>
    </row>
    <row r="4" spans="2:13" ht="15.75" thickBot="1" x14ac:dyDescent="0.3">
      <c r="B4" s="46">
        <v>1</v>
      </c>
      <c r="C4" s="47" t="s">
        <v>105</v>
      </c>
      <c r="D4" s="48" t="s">
        <v>75</v>
      </c>
      <c r="E4" s="49">
        <v>8</v>
      </c>
      <c r="F4" s="50">
        <f>0.29*L4*310</f>
        <v>5933.3999999999987</v>
      </c>
      <c r="G4" s="50">
        <f>F4*E4</f>
        <v>47467.19999999999</v>
      </c>
      <c r="H4" s="98">
        <f>G4/$L$3/$L$4</f>
        <v>0.28999999999999998</v>
      </c>
      <c r="I4" s="51"/>
      <c r="J4" s="24"/>
      <c r="K4" s="52" t="s">
        <v>76</v>
      </c>
      <c r="L4" s="53">
        <v>66</v>
      </c>
      <c r="M4" s="24"/>
    </row>
    <row r="5" spans="2:13" ht="15.75" thickBot="1" x14ac:dyDescent="0.3">
      <c r="B5" s="99">
        <v>2</v>
      </c>
      <c r="C5" s="100" t="s">
        <v>106</v>
      </c>
      <c r="D5" s="101" t="s">
        <v>75</v>
      </c>
      <c r="E5" s="102">
        <v>1</v>
      </c>
      <c r="F5" s="103">
        <v>20000</v>
      </c>
      <c r="G5" s="104">
        <f>E5*F5</f>
        <v>20000</v>
      </c>
      <c r="H5" s="105">
        <f t="shared" ref="H5:H20" si="0">G5/$L$3/$L$4</f>
        <v>0.12218963831867058</v>
      </c>
      <c r="I5" s="58"/>
      <c r="J5" s="24"/>
      <c r="K5" s="52" t="s">
        <v>77</v>
      </c>
      <c r="L5" s="59">
        <v>76</v>
      </c>
      <c r="M5" s="60"/>
    </row>
    <row r="6" spans="2:13" x14ac:dyDescent="0.25">
      <c r="B6" s="99">
        <v>3</v>
      </c>
      <c r="C6" s="100" t="s">
        <v>114</v>
      </c>
      <c r="D6" s="101" t="s">
        <v>75</v>
      </c>
      <c r="E6" s="102">
        <v>1</v>
      </c>
      <c r="F6" s="103">
        <f>664.4*L5</f>
        <v>50494.400000000001</v>
      </c>
      <c r="G6" s="104">
        <f t="shared" ref="G6:G11" si="1">F6*E6</f>
        <v>50494.400000000001</v>
      </c>
      <c r="H6" s="105">
        <f t="shared" si="0"/>
        <v>0.30849462365591396</v>
      </c>
      <c r="I6" s="58"/>
      <c r="J6" s="24"/>
      <c r="K6" s="119"/>
      <c r="L6" s="120"/>
      <c r="M6" s="60"/>
    </row>
    <row r="7" spans="2:13" x14ac:dyDescent="0.25">
      <c r="B7" s="99">
        <v>4</v>
      </c>
      <c r="C7" s="100" t="s">
        <v>115</v>
      </c>
      <c r="D7" s="101" t="s">
        <v>75</v>
      </c>
      <c r="E7" s="102">
        <v>1</v>
      </c>
      <c r="F7" s="103">
        <f>357.5*L5</f>
        <v>27170</v>
      </c>
      <c r="G7" s="104">
        <f t="shared" si="1"/>
        <v>27170</v>
      </c>
      <c r="H7" s="105">
        <f t="shared" si="0"/>
        <v>0.16599462365591397</v>
      </c>
      <c r="I7" s="58"/>
      <c r="J7" s="24"/>
      <c r="K7" s="30"/>
      <c r="L7" s="24"/>
      <c r="M7" s="24"/>
    </row>
    <row r="8" spans="2:13" x14ac:dyDescent="0.25">
      <c r="B8" s="46">
        <v>5</v>
      </c>
      <c r="C8" s="54" t="s">
        <v>108</v>
      </c>
      <c r="D8" s="48" t="s">
        <v>78</v>
      </c>
      <c r="E8" s="55">
        <v>50</v>
      </c>
      <c r="F8" s="56">
        <v>50.2</v>
      </c>
      <c r="G8" s="57">
        <f t="shared" si="1"/>
        <v>2510</v>
      </c>
      <c r="H8" s="98">
        <f t="shared" si="0"/>
        <v>1.5334799608993159E-2</v>
      </c>
      <c r="I8" s="58"/>
      <c r="J8" s="24"/>
      <c r="K8" s="24"/>
      <c r="L8" s="24"/>
      <c r="M8" s="24"/>
    </row>
    <row r="9" spans="2:13" x14ac:dyDescent="0.25">
      <c r="B9" s="99">
        <v>6</v>
      </c>
      <c r="C9" s="100" t="s">
        <v>118</v>
      </c>
      <c r="D9" s="48" t="s">
        <v>75</v>
      </c>
      <c r="E9" s="55">
        <v>1</v>
      </c>
      <c r="F9" s="56">
        <f>3510*L5</f>
        <v>266760</v>
      </c>
      <c r="G9" s="57">
        <f t="shared" si="1"/>
        <v>266760</v>
      </c>
      <c r="H9" s="98">
        <f t="shared" si="0"/>
        <v>1.629765395894428</v>
      </c>
      <c r="I9" s="58"/>
      <c r="J9" s="24"/>
      <c r="K9" s="27"/>
      <c r="L9" s="27"/>
      <c r="M9" s="24"/>
    </row>
    <row r="10" spans="2:13" x14ac:dyDescent="0.25">
      <c r="B10" s="99">
        <v>7</v>
      </c>
      <c r="C10" s="100" t="s">
        <v>119</v>
      </c>
      <c r="D10" s="48" t="s">
        <v>75</v>
      </c>
      <c r="E10" s="55">
        <v>1</v>
      </c>
      <c r="F10" s="56">
        <f>165*L5</f>
        <v>12540</v>
      </c>
      <c r="G10" s="57">
        <f t="shared" si="1"/>
        <v>12540</v>
      </c>
      <c r="H10" s="98">
        <f t="shared" si="0"/>
        <v>7.6612903225806453E-2</v>
      </c>
      <c r="I10" s="58"/>
      <c r="J10" s="24"/>
      <c r="K10" s="27"/>
      <c r="L10" s="27"/>
      <c r="M10" s="24"/>
    </row>
    <row r="11" spans="2:13" ht="15.75" thickBot="1" x14ac:dyDescent="0.3">
      <c r="B11" s="46">
        <v>8</v>
      </c>
      <c r="C11" s="61" t="s">
        <v>117</v>
      </c>
      <c r="D11" s="92" t="s">
        <v>75</v>
      </c>
      <c r="E11" s="62">
        <v>1</v>
      </c>
      <c r="F11" s="63">
        <v>5000</v>
      </c>
      <c r="G11" s="63">
        <f t="shared" si="1"/>
        <v>5000</v>
      </c>
      <c r="H11" s="107">
        <f t="shared" si="0"/>
        <v>3.0547409579667645E-2</v>
      </c>
      <c r="I11" s="64"/>
      <c r="J11" s="24"/>
      <c r="K11" s="24"/>
      <c r="L11" s="24"/>
      <c r="M11" s="24"/>
    </row>
    <row r="12" spans="2:13" x14ac:dyDescent="0.25">
      <c r="B12" s="46">
        <v>9</v>
      </c>
      <c r="C12" s="93" t="s">
        <v>82</v>
      </c>
      <c r="D12" s="65"/>
      <c r="E12" s="66"/>
      <c r="F12" s="67"/>
      <c r="G12" s="94">
        <f>SUM(G4:G11)</f>
        <v>431941.6</v>
      </c>
      <c r="H12" s="109">
        <f t="shared" si="0"/>
        <v>2.6389393939393937</v>
      </c>
      <c r="I12" s="68"/>
      <c r="J12" s="29"/>
      <c r="K12" s="24"/>
      <c r="L12" s="24"/>
      <c r="M12" s="24"/>
    </row>
    <row r="13" spans="2:13" x14ac:dyDescent="0.25">
      <c r="B13" s="46">
        <v>10</v>
      </c>
      <c r="C13" s="95" t="s">
        <v>83</v>
      </c>
      <c r="D13" s="91"/>
      <c r="E13" s="55">
        <v>0</v>
      </c>
      <c r="F13" s="57">
        <v>0</v>
      </c>
      <c r="G13" s="69">
        <v>0</v>
      </c>
      <c r="H13" s="108">
        <f t="shared" si="0"/>
        <v>0</v>
      </c>
      <c r="I13" s="97"/>
      <c r="J13" s="29"/>
      <c r="K13" s="24"/>
      <c r="L13" s="24"/>
      <c r="M13" s="24"/>
    </row>
    <row r="14" spans="2:13" x14ac:dyDescent="0.25">
      <c r="B14" s="46">
        <v>11</v>
      </c>
      <c r="C14" s="95" t="s">
        <v>84</v>
      </c>
      <c r="D14" s="91"/>
      <c r="E14" s="55">
        <v>0</v>
      </c>
      <c r="F14" s="57">
        <v>0</v>
      </c>
      <c r="G14" s="69">
        <v>0</v>
      </c>
      <c r="H14" s="108">
        <f t="shared" si="0"/>
        <v>0</v>
      </c>
      <c r="I14" s="97"/>
      <c r="J14" s="29"/>
      <c r="K14" s="24"/>
      <c r="L14" s="24"/>
      <c r="M14" s="24"/>
    </row>
    <row r="15" spans="2:13" ht="15.75" thickBot="1" x14ac:dyDescent="0.3">
      <c r="B15" s="46">
        <v>12</v>
      </c>
      <c r="C15" s="96" t="s">
        <v>85</v>
      </c>
      <c r="D15" s="70" t="s">
        <v>86</v>
      </c>
      <c r="E15" s="71">
        <v>0</v>
      </c>
      <c r="F15" s="72"/>
      <c r="G15" s="73">
        <v>0</v>
      </c>
      <c r="H15" s="110">
        <f t="shared" si="0"/>
        <v>0</v>
      </c>
      <c r="I15" s="74"/>
      <c r="J15" s="29"/>
      <c r="K15" s="24"/>
      <c r="L15" s="24"/>
      <c r="M15" s="24"/>
    </row>
    <row r="16" spans="2:13" x14ac:dyDescent="0.25">
      <c r="B16" s="24"/>
      <c r="C16" s="111" t="s">
        <v>87</v>
      </c>
      <c r="D16" s="112"/>
      <c r="E16" s="113"/>
      <c r="F16" s="114"/>
      <c r="G16" s="115">
        <f>SUM(G12:G15)</f>
        <v>431941.6</v>
      </c>
      <c r="H16" s="116">
        <f t="shared" si="0"/>
        <v>2.6389393939393937</v>
      </c>
      <c r="I16" s="75"/>
      <c r="J16" s="29"/>
      <c r="K16" s="24"/>
      <c r="L16" s="24"/>
      <c r="M16" s="24"/>
    </row>
    <row r="17" spans="1:13" x14ac:dyDescent="0.25">
      <c r="B17" s="24"/>
      <c r="C17" s="76" t="s">
        <v>109</v>
      </c>
      <c r="D17" s="46" t="s">
        <v>86</v>
      </c>
      <c r="E17" s="77">
        <v>0</v>
      </c>
      <c r="F17" s="28"/>
      <c r="G17" s="78">
        <f>G16*E17</f>
        <v>0</v>
      </c>
      <c r="H17" s="117">
        <f t="shared" si="0"/>
        <v>0</v>
      </c>
      <c r="I17" s="75"/>
      <c r="J17" s="29"/>
      <c r="K17" s="24"/>
      <c r="L17" s="24"/>
      <c r="M17" s="24"/>
    </row>
    <row r="18" spans="1:13" x14ac:dyDescent="0.25">
      <c r="A18" s="24"/>
      <c r="B18" s="24"/>
      <c r="C18" s="76" t="s">
        <v>110</v>
      </c>
      <c r="D18" s="46"/>
      <c r="E18" s="77"/>
      <c r="F18" s="28"/>
      <c r="G18" s="78">
        <f>G16+G17</f>
        <v>431941.6</v>
      </c>
      <c r="H18" s="117">
        <f t="shared" si="0"/>
        <v>2.6389393939393937</v>
      </c>
      <c r="I18" s="75"/>
      <c r="J18" s="29"/>
      <c r="K18" s="24"/>
      <c r="L18" s="24"/>
      <c r="M18" s="24"/>
    </row>
    <row r="19" spans="1:13" x14ac:dyDescent="0.25">
      <c r="A19" s="24"/>
      <c r="B19" s="24"/>
      <c r="C19" s="76" t="s">
        <v>90</v>
      </c>
      <c r="D19" s="46"/>
      <c r="E19" s="79"/>
      <c r="F19" s="28"/>
      <c r="G19" s="78">
        <f>G18*0.18</f>
        <v>77749.487999999998</v>
      </c>
      <c r="H19" s="117">
        <f t="shared" si="0"/>
        <v>0.47500909090909094</v>
      </c>
      <c r="I19" s="75"/>
      <c r="J19" s="29"/>
      <c r="K19" s="24"/>
      <c r="L19" s="24"/>
      <c r="M19" s="24"/>
    </row>
    <row r="20" spans="1:13" ht="15.75" thickBot="1" x14ac:dyDescent="0.3">
      <c r="A20" s="24"/>
      <c r="B20" s="24"/>
      <c r="C20" s="80" t="s">
        <v>91</v>
      </c>
      <c r="D20" s="81"/>
      <c r="E20" s="82"/>
      <c r="F20" s="83"/>
      <c r="G20" s="84">
        <f>G18+G19</f>
        <v>509691.08799999999</v>
      </c>
      <c r="H20" s="118">
        <f t="shared" si="0"/>
        <v>3.1139484848484851</v>
      </c>
      <c r="I20" s="85"/>
      <c r="J20" s="29"/>
      <c r="K20" s="86"/>
      <c r="L20" s="24"/>
      <c r="M20" s="24"/>
    </row>
    <row r="21" spans="1:13" x14ac:dyDescent="0.25">
      <c r="A21" s="24"/>
      <c r="B21" s="24"/>
      <c r="C21" s="106" t="s">
        <v>113</v>
      </c>
      <c r="D21" s="24"/>
      <c r="E21" s="24"/>
      <c r="F21" s="31"/>
      <c r="G21" s="31"/>
      <c r="H21" s="24"/>
      <c r="I21" s="24"/>
      <c r="J21" s="29"/>
      <c r="K21" s="24"/>
      <c r="L21" s="24"/>
      <c r="M21" s="24"/>
    </row>
    <row r="22" spans="1:13" x14ac:dyDescent="0.25">
      <c r="A22" s="24"/>
      <c r="B22" s="24"/>
      <c r="C22" s="106" t="s">
        <v>107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x14ac:dyDescent="0.25">
      <c r="A23" s="25"/>
      <c r="B23" s="27"/>
      <c r="C23" s="32"/>
      <c r="D23" s="26"/>
      <c r="E23" s="27"/>
      <c r="F23" s="27"/>
      <c r="G23" s="27"/>
      <c r="H23" s="27"/>
      <c r="I23" s="27"/>
      <c r="J23" s="27"/>
      <c r="K23" s="27"/>
      <c r="L23" s="27"/>
      <c r="M23" s="27"/>
    </row>
    <row r="24" spans="1:13" x14ac:dyDescent="0.25">
      <c r="D24" s="24"/>
      <c r="E24" s="24"/>
      <c r="F24" s="24"/>
      <c r="G24" s="24"/>
    </row>
    <row r="27" spans="1:13" x14ac:dyDescent="0.25">
      <c r="D27" s="24"/>
      <c r="E27" s="24"/>
      <c r="F27" s="24"/>
      <c r="G27" s="87"/>
    </row>
    <row r="28" spans="1:13" x14ac:dyDescent="0.25">
      <c r="D28" s="24"/>
      <c r="E28" s="24"/>
      <c r="F28" s="56"/>
      <c r="G28" s="24"/>
    </row>
    <row r="33" spans="4:8" x14ac:dyDescent="0.25">
      <c r="D33" s="88"/>
      <c r="E33" s="89"/>
      <c r="F33" s="24"/>
      <c r="G33" s="24"/>
    </row>
    <row r="34" spans="4:8" x14ac:dyDescent="0.25">
      <c r="D34" s="24"/>
      <c r="E34" s="89"/>
      <c r="F34" s="24"/>
      <c r="G34" s="24"/>
    </row>
    <row r="37" spans="4:8" x14ac:dyDescent="0.25">
      <c r="D37" s="24"/>
      <c r="E37" s="24"/>
      <c r="F37" s="90"/>
      <c r="G37" s="24"/>
    </row>
    <row r="41" spans="4:8" x14ac:dyDescent="0.25">
      <c r="D41" s="24"/>
      <c r="E41" s="24"/>
      <c r="F41" s="90"/>
      <c r="G41" s="24"/>
      <c r="H41" s="24"/>
    </row>
    <row r="43" spans="4:8" x14ac:dyDescent="0.25">
      <c r="D43" s="88"/>
      <c r="E43" s="89"/>
      <c r="F43" s="24"/>
      <c r="G43" s="24"/>
      <c r="H43" s="24"/>
    </row>
    <row r="44" spans="4:8" x14ac:dyDescent="0.25">
      <c r="D44" s="88"/>
      <c r="E44" s="89"/>
      <c r="F44" s="24"/>
      <c r="G44" s="90"/>
      <c r="H44" s="9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FF0000"/>
  </sheetPr>
  <dimension ref="A1:M42"/>
  <sheetViews>
    <sheetView workbookViewId="0">
      <selection activeCell="C8" sqref="C8"/>
    </sheetView>
  </sheetViews>
  <sheetFormatPr defaultRowHeight="15" x14ac:dyDescent="0.25"/>
  <cols>
    <col min="3" max="3" width="72.5703125" bestFit="1" customWidth="1"/>
    <col min="5" max="5" width="10.42578125" bestFit="1" customWidth="1"/>
    <col min="6" max="6" width="20.85546875" customWidth="1"/>
    <col min="7" max="7" width="21.42578125" customWidth="1"/>
    <col min="8" max="8" width="10.85546875" bestFit="1" customWidth="1"/>
    <col min="9" max="9" width="15" customWidth="1"/>
    <col min="11" max="11" width="22" bestFit="1" customWidth="1"/>
  </cols>
  <sheetData>
    <row r="1" spans="1:13" ht="15.75" thickBot="1" x14ac:dyDescent="0.3">
      <c r="B1" s="24"/>
      <c r="C1" s="24"/>
      <c r="D1" s="24"/>
      <c r="E1" s="24"/>
      <c r="F1" s="33"/>
      <c r="G1" s="24"/>
      <c r="H1" s="24"/>
      <c r="I1" s="24"/>
      <c r="J1" s="24"/>
      <c r="K1" s="24"/>
      <c r="L1" s="24"/>
      <c r="M1" s="24"/>
    </row>
    <row r="2" spans="1:13" ht="15.75" thickBot="1" x14ac:dyDescent="0.3">
      <c r="B2" s="24"/>
      <c r="C2" s="34" t="s">
        <v>125</v>
      </c>
      <c r="D2" s="34">
        <f>E4*0.31</f>
        <v>2.79</v>
      </c>
      <c r="E2" s="34" t="s">
        <v>64</v>
      </c>
      <c r="F2" s="27">
        <v>3</v>
      </c>
      <c r="G2" s="35" t="s">
        <v>65</v>
      </c>
      <c r="H2" s="27">
        <v>3</v>
      </c>
      <c r="I2" s="27" t="s">
        <v>66</v>
      </c>
      <c r="J2" s="24"/>
      <c r="K2" s="36" t="s">
        <v>67</v>
      </c>
      <c r="L2" s="24"/>
      <c r="M2" s="24"/>
    </row>
    <row r="3" spans="1:13" ht="30.75" thickBot="1" x14ac:dyDescent="0.3">
      <c r="B3" s="37" t="s">
        <v>33</v>
      </c>
      <c r="C3" s="38" t="s">
        <v>0</v>
      </c>
      <c r="D3" s="39" t="s">
        <v>68</v>
      </c>
      <c r="E3" s="40" t="s">
        <v>69</v>
      </c>
      <c r="F3" s="41" t="s">
        <v>70</v>
      </c>
      <c r="G3" s="41" t="s">
        <v>71</v>
      </c>
      <c r="H3" s="42" t="s">
        <v>72</v>
      </c>
      <c r="I3" s="43" t="s">
        <v>73</v>
      </c>
      <c r="J3" s="24"/>
      <c r="K3" s="44" t="s">
        <v>74</v>
      </c>
      <c r="L3" s="45">
        <f>D2*1000</f>
        <v>2790</v>
      </c>
      <c r="M3" s="24"/>
    </row>
    <row r="4" spans="1:13" ht="15.75" thickBot="1" x14ac:dyDescent="0.3">
      <c r="B4" s="46">
        <v>1</v>
      </c>
      <c r="C4" s="47" t="s">
        <v>105</v>
      </c>
      <c r="D4" s="48" t="s">
        <v>75</v>
      </c>
      <c r="E4" s="49">
        <v>9</v>
      </c>
      <c r="F4" s="50">
        <f>0.29*L4*310</f>
        <v>5933.3999999999987</v>
      </c>
      <c r="G4" s="50">
        <f>F4*E4</f>
        <v>53400.599999999991</v>
      </c>
      <c r="H4" s="98">
        <f>G4/$L$3/$L$4</f>
        <v>0.28999999999999998</v>
      </c>
      <c r="I4" s="51"/>
      <c r="J4" s="24"/>
      <c r="K4" s="52" t="s">
        <v>76</v>
      </c>
      <c r="L4" s="53">
        <v>66</v>
      </c>
      <c r="M4" s="24"/>
    </row>
    <row r="5" spans="1:13" ht="15.75" thickBot="1" x14ac:dyDescent="0.3">
      <c r="B5" s="99">
        <v>2</v>
      </c>
      <c r="C5" s="100" t="s">
        <v>106</v>
      </c>
      <c r="D5" s="101" t="s">
        <v>75</v>
      </c>
      <c r="E5" s="102">
        <v>1</v>
      </c>
      <c r="F5" s="103">
        <v>20000</v>
      </c>
      <c r="G5" s="104">
        <f>E5*F5</f>
        <v>20000</v>
      </c>
      <c r="H5" s="105">
        <f t="shared" ref="H5:H18" si="0">G5/$L$3/$L$4</f>
        <v>0.10861301183881829</v>
      </c>
      <c r="I5" s="58"/>
      <c r="J5" s="24"/>
      <c r="K5" s="52" t="s">
        <v>77</v>
      </c>
      <c r="L5" s="59">
        <v>76</v>
      </c>
      <c r="M5" s="60"/>
    </row>
    <row r="6" spans="1:13" x14ac:dyDescent="0.25">
      <c r="B6" s="99">
        <v>3</v>
      </c>
      <c r="C6" s="100" t="s">
        <v>122</v>
      </c>
      <c r="D6" s="101" t="s">
        <v>75</v>
      </c>
      <c r="E6" s="102">
        <v>1</v>
      </c>
      <c r="F6" s="103">
        <f>1113.75*L5</f>
        <v>84645</v>
      </c>
      <c r="G6" s="104">
        <f>F6*E6</f>
        <v>84645</v>
      </c>
      <c r="H6" s="105">
        <f t="shared" si="0"/>
        <v>0.45967741935483875</v>
      </c>
      <c r="I6" s="58"/>
      <c r="J6" s="24"/>
      <c r="K6" s="119"/>
      <c r="L6" s="120"/>
      <c r="M6" s="60"/>
    </row>
    <row r="7" spans="1:13" x14ac:dyDescent="0.25">
      <c r="B7" s="46">
        <v>5</v>
      </c>
      <c r="C7" s="54" t="s">
        <v>108</v>
      </c>
      <c r="D7" s="48" t="s">
        <v>78</v>
      </c>
      <c r="E7" s="55">
        <v>75</v>
      </c>
      <c r="F7" s="56">
        <v>50.2</v>
      </c>
      <c r="G7" s="57">
        <f>F7*E7</f>
        <v>3765</v>
      </c>
      <c r="H7" s="98">
        <f t="shared" si="0"/>
        <v>2.0446399478657541E-2</v>
      </c>
      <c r="I7" s="58"/>
      <c r="J7" s="24"/>
      <c r="K7" s="24"/>
      <c r="L7" s="24"/>
      <c r="M7" s="24"/>
    </row>
    <row r="8" spans="1:13" ht="15.75" thickBot="1" x14ac:dyDescent="0.3">
      <c r="B8" s="99">
        <v>6</v>
      </c>
      <c r="C8" s="100" t="s">
        <v>118</v>
      </c>
      <c r="D8" s="48" t="s">
        <v>75</v>
      </c>
      <c r="E8" s="55">
        <v>1</v>
      </c>
      <c r="F8" s="56">
        <f>3510*L4</f>
        <v>231660</v>
      </c>
      <c r="G8" s="57">
        <f>F8*E8</f>
        <v>231660</v>
      </c>
      <c r="H8" s="98">
        <f t="shared" si="0"/>
        <v>1.2580645161290323</v>
      </c>
      <c r="I8" s="58"/>
      <c r="J8" s="24"/>
      <c r="K8" s="27"/>
      <c r="L8" s="27"/>
      <c r="M8" s="24"/>
    </row>
    <row r="9" spans="1:13" ht="15.75" thickBot="1" x14ac:dyDescent="0.3">
      <c r="B9" s="46">
        <v>8</v>
      </c>
      <c r="C9" s="61" t="s">
        <v>124</v>
      </c>
      <c r="D9" s="92" t="s">
        <v>75</v>
      </c>
      <c r="E9" s="62">
        <v>1</v>
      </c>
      <c r="F9" s="63">
        <v>1000</v>
      </c>
      <c r="G9" s="63">
        <f>F9*E9</f>
        <v>1000</v>
      </c>
      <c r="H9" s="107">
        <f t="shared" si="0"/>
        <v>5.4306505919409142E-3</v>
      </c>
      <c r="I9" s="64"/>
      <c r="J9" s="24"/>
      <c r="K9" s="24"/>
      <c r="L9" s="24"/>
      <c r="M9" s="24"/>
    </row>
    <row r="10" spans="1:13" x14ac:dyDescent="0.25">
      <c r="B10" s="46">
        <v>9</v>
      </c>
      <c r="C10" s="93" t="s">
        <v>82</v>
      </c>
      <c r="D10" s="65"/>
      <c r="E10" s="66"/>
      <c r="F10" s="67"/>
      <c r="G10" s="94">
        <f>SUM(G4:G9)</f>
        <v>394470.6</v>
      </c>
      <c r="H10" s="109">
        <f t="shared" si="0"/>
        <v>2.1422319973932877</v>
      </c>
      <c r="I10" s="68"/>
      <c r="J10" s="29"/>
      <c r="K10" s="24"/>
      <c r="L10" s="24"/>
      <c r="M10" s="24"/>
    </row>
    <row r="11" spans="1:13" x14ac:dyDescent="0.25">
      <c r="B11" s="46">
        <v>10</v>
      </c>
      <c r="C11" s="95" t="s">
        <v>83</v>
      </c>
      <c r="D11" s="91"/>
      <c r="E11" s="55">
        <v>0</v>
      </c>
      <c r="F11" s="57">
        <v>0</v>
      </c>
      <c r="G11" s="69">
        <v>0</v>
      </c>
      <c r="H11" s="108">
        <f t="shared" si="0"/>
        <v>0</v>
      </c>
      <c r="I11" s="97"/>
      <c r="J11" s="29"/>
      <c r="K11" s="24"/>
      <c r="L11" s="24"/>
      <c r="M11" s="24"/>
    </row>
    <row r="12" spans="1:13" x14ac:dyDescent="0.25">
      <c r="B12" s="46">
        <v>11</v>
      </c>
      <c r="C12" s="95" t="s">
        <v>84</v>
      </c>
      <c r="D12" s="91"/>
      <c r="E12" s="55">
        <v>0</v>
      </c>
      <c r="F12" s="57">
        <v>0</v>
      </c>
      <c r="G12" s="69">
        <v>0</v>
      </c>
      <c r="H12" s="108">
        <f t="shared" si="0"/>
        <v>0</v>
      </c>
      <c r="I12" s="97"/>
      <c r="J12" s="29"/>
      <c r="K12" s="24"/>
      <c r="L12" s="24"/>
      <c r="M12" s="24"/>
    </row>
    <row r="13" spans="1:13" ht="15.75" thickBot="1" x14ac:dyDescent="0.3">
      <c r="B13" s="46">
        <v>12</v>
      </c>
      <c r="C13" s="96" t="s">
        <v>85</v>
      </c>
      <c r="D13" s="70" t="s">
        <v>86</v>
      </c>
      <c r="E13" s="71">
        <v>0</v>
      </c>
      <c r="F13" s="72"/>
      <c r="G13" s="73">
        <v>0</v>
      </c>
      <c r="H13" s="110">
        <f t="shared" si="0"/>
        <v>0</v>
      </c>
      <c r="I13" s="74"/>
      <c r="J13" s="29"/>
      <c r="K13" s="24"/>
      <c r="L13" s="24"/>
      <c r="M13" s="24"/>
    </row>
    <row r="14" spans="1:13" x14ac:dyDescent="0.25">
      <c r="B14" s="24"/>
      <c r="C14" s="111" t="s">
        <v>87</v>
      </c>
      <c r="D14" s="112"/>
      <c r="E14" s="113"/>
      <c r="F14" s="114"/>
      <c r="G14" s="115">
        <f>SUM(G10:G13)</f>
        <v>394470.6</v>
      </c>
      <c r="H14" s="116">
        <f t="shared" si="0"/>
        <v>2.1422319973932877</v>
      </c>
      <c r="I14" s="75"/>
      <c r="J14" s="29"/>
      <c r="K14" s="24"/>
      <c r="L14" s="24"/>
      <c r="M14" s="24"/>
    </row>
    <row r="15" spans="1:13" x14ac:dyDescent="0.25">
      <c r="B15" s="24"/>
      <c r="C15" s="76" t="s">
        <v>109</v>
      </c>
      <c r="D15" s="46" t="s">
        <v>86</v>
      </c>
      <c r="E15" s="77">
        <v>0</v>
      </c>
      <c r="F15" s="28"/>
      <c r="G15" s="78">
        <f>G14*E15</f>
        <v>0</v>
      </c>
      <c r="H15" s="117">
        <f t="shared" si="0"/>
        <v>0</v>
      </c>
      <c r="I15" s="75"/>
      <c r="J15" s="29"/>
      <c r="K15" s="24"/>
      <c r="L15" s="24"/>
      <c r="M15" s="24"/>
    </row>
    <row r="16" spans="1:13" x14ac:dyDescent="0.25">
      <c r="A16" s="24"/>
      <c r="B16" s="24"/>
      <c r="C16" s="76" t="s">
        <v>110</v>
      </c>
      <c r="D16" s="46"/>
      <c r="E16" s="77"/>
      <c r="F16" s="28"/>
      <c r="G16" s="78">
        <f>G14+G15</f>
        <v>394470.6</v>
      </c>
      <c r="H16" s="117">
        <f t="shared" si="0"/>
        <v>2.1422319973932877</v>
      </c>
      <c r="I16" s="75"/>
      <c r="J16" s="29"/>
      <c r="K16" s="24"/>
      <c r="L16" s="24"/>
      <c r="M16" s="24"/>
    </row>
    <row r="17" spans="1:13" x14ac:dyDescent="0.25">
      <c r="A17" s="24"/>
      <c r="B17" s="24"/>
      <c r="C17" s="76" t="s">
        <v>90</v>
      </c>
      <c r="D17" s="46"/>
      <c r="E17" s="79"/>
      <c r="F17" s="28"/>
      <c r="G17" s="78">
        <f>G16*0.18</f>
        <v>71004.707999999999</v>
      </c>
      <c r="H17" s="117">
        <f t="shared" si="0"/>
        <v>0.38560175953079179</v>
      </c>
      <c r="I17" s="75"/>
      <c r="J17" s="29"/>
      <c r="K17" s="24"/>
      <c r="L17" s="24"/>
      <c r="M17" s="24"/>
    </row>
    <row r="18" spans="1:13" ht="15.75" thickBot="1" x14ac:dyDescent="0.3">
      <c r="A18" s="24"/>
      <c r="B18" s="24"/>
      <c r="C18" s="80" t="s">
        <v>91</v>
      </c>
      <c r="D18" s="81"/>
      <c r="E18" s="82"/>
      <c r="F18" s="83"/>
      <c r="G18" s="84">
        <f>G16+G17</f>
        <v>465475.30799999996</v>
      </c>
      <c r="H18" s="118">
        <f t="shared" si="0"/>
        <v>2.5278337569240792</v>
      </c>
      <c r="I18" s="85"/>
      <c r="J18" s="29"/>
      <c r="K18" s="86"/>
      <c r="L18" s="24"/>
      <c r="M18" s="24"/>
    </row>
    <row r="19" spans="1:13" x14ac:dyDescent="0.25">
      <c r="A19" s="24"/>
      <c r="B19" s="24"/>
      <c r="C19" s="106" t="s">
        <v>113</v>
      </c>
      <c r="D19" s="24"/>
      <c r="E19" s="24"/>
      <c r="F19" s="31"/>
      <c r="G19" s="31"/>
      <c r="H19" s="24"/>
      <c r="I19" s="24"/>
      <c r="J19" s="29"/>
      <c r="K19" s="24"/>
      <c r="L19" s="24"/>
      <c r="M19" s="24"/>
    </row>
    <row r="20" spans="1:13" x14ac:dyDescent="0.25">
      <c r="A20" s="24"/>
      <c r="B20" s="24"/>
      <c r="C20" s="106" t="s">
        <v>107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x14ac:dyDescent="0.25">
      <c r="A21" s="25"/>
      <c r="B21" s="27"/>
      <c r="C21" s="32"/>
      <c r="D21" s="26"/>
      <c r="E21" s="27"/>
      <c r="F21" s="27"/>
      <c r="G21" s="27"/>
      <c r="H21" s="27"/>
      <c r="I21" s="27"/>
      <c r="J21" s="27"/>
      <c r="K21" s="27"/>
      <c r="L21" s="27"/>
      <c r="M21" s="27"/>
    </row>
    <row r="22" spans="1:13" x14ac:dyDescent="0.25">
      <c r="D22" s="24"/>
      <c r="E22" s="24"/>
      <c r="F22" s="24"/>
      <c r="G22" s="24"/>
    </row>
    <row r="25" spans="1:13" x14ac:dyDescent="0.25">
      <c r="D25" s="24"/>
      <c r="E25" s="24"/>
      <c r="F25" s="24"/>
      <c r="G25" s="87"/>
    </row>
    <row r="26" spans="1:13" x14ac:dyDescent="0.25">
      <c r="D26" s="24"/>
      <c r="E26" s="24"/>
      <c r="F26" s="56"/>
      <c r="G26" s="24"/>
    </row>
    <row r="31" spans="1:13" x14ac:dyDescent="0.25">
      <c r="D31" s="88"/>
      <c r="E31" s="89"/>
      <c r="F31" s="24"/>
      <c r="G31" s="24"/>
    </row>
    <row r="32" spans="1:13" x14ac:dyDescent="0.25">
      <c r="D32" s="24"/>
      <c r="E32" s="89"/>
      <c r="F32" s="24"/>
      <c r="G32" s="24"/>
    </row>
    <row r="35" spans="4:8" x14ac:dyDescent="0.25">
      <c r="D35" s="24"/>
      <c r="E35" s="24"/>
      <c r="F35" s="90"/>
      <c r="G35" s="24"/>
    </row>
    <row r="39" spans="4:8" x14ac:dyDescent="0.25">
      <c r="D39" s="24"/>
      <c r="E39" s="24"/>
      <c r="F39" s="90"/>
      <c r="G39" s="24"/>
      <c r="H39" s="24"/>
    </row>
    <row r="41" spans="4:8" x14ac:dyDescent="0.25">
      <c r="D41" s="88"/>
      <c r="E41" s="89"/>
      <c r="F41" s="24"/>
      <c r="G41" s="24"/>
      <c r="H41" s="24"/>
    </row>
    <row r="42" spans="4:8" x14ac:dyDescent="0.25">
      <c r="D42" s="88"/>
      <c r="E42" s="89"/>
      <c r="F42" s="24"/>
      <c r="G42" s="90"/>
      <c r="H42" s="9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FF0000"/>
  </sheetPr>
  <dimension ref="A1:M42"/>
  <sheetViews>
    <sheetView workbookViewId="0">
      <selection activeCell="C8" sqref="C8"/>
    </sheetView>
  </sheetViews>
  <sheetFormatPr defaultRowHeight="15" x14ac:dyDescent="0.25"/>
  <cols>
    <col min="3" max="3" width="77.42578125" bestFit="1" customWidth="1"/>
    <col min="5" max="5" width="10.42578125" bestFit="1" customWidth="1"/>
    <col min="6" max="6" width="20.85546875" customWidth="1"/>
    <col min="7" max="7" width="21.42578125" customWidth="1"/>
    <col min="8" max="8" width="10.85546875" bestFit="1" customWidth="1"/>
    <col min="9" max="9" width="15" customWidth="1"/>
    <col min="11" max="11" width="22" bestFit="1" customWidth="1"/>
  </cols>
  <sheetData>
    <row r="1" spans="1:13" ht="15.75" thickBot="1" x14ac:dyDescent="0.3">
      <c r="B1" s="24"/>
      <c r="C1" s="24"/>
      <c r="D1" s="24"/>
      <c r="E1" s="24"/>
      <c r="F1" s="33"/>
      <c r="G1" s="24"/>
      <c r="H1" s="24"/>
      <c r="I1" s="24"/>
      <c r="J1" s="24"/>
      <c r="K1" s="24"/>
      <c r="L1" s="24"/>
      <c r="M1" s="24"/>
    </row>
    <row r="2" spans="1:13" ht="15.75" thickBot="1" x14ac:dyDescent="0.3">
      <c r="B2" s="24"/>
      <c r="C2" s="34" t="s">
        <v>127</v>
      </c>
      <c r="D2" s="34">
        <f>E4*0.31</f>
        <v>3.7199999999999998</v>
      </c>
      <c r="E2" s="34" t="s">
        <v>64</v>
      </c>
      <c r="F2" s="27">
        <v>4</v>
      </c>
      <c r="G2" s="35" t="s">
        <v>65</v>
      </c>
      <c r="H2" s="27">
        <v>3</v>
      </c>
      <c r="I2" s="27" t="s">
        <v>66</v>
      </c>
      <c r="J2" s="24"/>
      <c r="K2" s="36" t="s">
        <v>67</v>
      </c>
      <c r="L2" s="24"/>
      <c r="M2" s="24"/>
    </row>
    <row r="3" spans="1:13" ht="30.75" thickBot="1" x14ac:dyDescent="0.3">
      <c r="B3" s="37" t="s">
        <v>33</v>
      </c>
      <c r="C3" s="38" t="s">
        <v>0</v>
      </c>
      <c r="D3" s="39" t="s">
        <v>68</v>
      </c>
      <c r="E3" s="40" t="s">
        <v>69</v>
      </c>
      <c r="F3" s="41" t="s">
        <v>70</v>
      </c>
      <c r="G3" s="41" t="s">
        <v>71</v>
      </c>
      <c r="H3" s="42" t="s">
        <v>72</v>
      </c>
      <c r="I3" s="43" t="s">
        <v>73</v>
      </c>
      <c r="J3" s="24"/>
      <c r="K3" s="44" t="s">
        <v>74</v>
      </c>
      <c r="L3" s="45">
        <f>D2*1000</f>
        <v>3719.9999999999995</v>
      </c>
      <c r="M3" s="24"/>
    </row>
    <row r="4" spans="1:13" ht="15.75" thickBot="1" x14ac:dyDescent="0.3">
      <c r="B4" s="46">
        <v>1</v>
      </c>
      <c r="C4" s="47" t="s">
        <v>105</v>
      </c>
      <c r="D4" s="48" t="s">
        <v>75</v>
      </c>
      <c r="E4" s="49">
        <v>12</v>
      </c>
      <c r="F4" s="50">
        <f>0.29*L4*310</f>
        <v>5933.3999999999987</v>
      </c>
      <c r="G4" s="50">
        <f>F4*E4</f>
        <v>71200.799999999988</v>
      </c>
      <c r="H4" s="98">
        <f>G4/$L$3/$L$4</f>
        <v>0.29000000000000004</v>
      </c>
      <c r="I4" s="51"/>
      <c r="J4" s="24"/>
      <c r="K4" s="52" t="s">
        <v>76</v>
      </c>
      <c r="L4" s="53">
        <v>66</v>
      </c>
      <c r="M4" s="24"/>
    </row>
    <row r="5" spans="1:13" ht="15.75" thickBot="1" x14ac:dyDescent="0.3">
      <c r="B5" s="99">
        <v>2</v>
      </c>
      <c r="C5" s="100" t="s">
        <v>106</v>
      </c>
      <c r="D5" s="101" t="s">
        <v>75</v>
      </c>
      <c r="E5" s="102">
        <v>1</v>
      </c>
      <c r="F5" s="103">
        <v>20000</v>
      </c>
      <c r="G5" s="104">
        <f>E5*F5</f>
        <v>20000</v>
      </c>
      <c r="H5" s="105">
        <f t="shared" ref="H5:H18" si="0">G5/$L$3/$L$4</f>
        <v>8.1459758879113719E-2</v>
      </c>
      <c r="I5" s="58"/>
      <c r="J5" s="24"/>
      <c r="K5" s="52" t="s">
        <v>77</v>
      </c>
      <c r="L5" s="59">
        <v>76</v>
      </c>
      <c r="M5" s="60"/>
    </row>
    <row r="6" spans="1:13" x14ac:dyDescent="0.25">
      <c r="B6" s="99">
        <v>3</v>
      </c>
      <c r="C6" s="100" t="s">
        <v>126</v>
      </c>
      <c r="D6" s="101" t="s">
        <v>75</v>
      </c>
      <c r="E6" s="102">
        <v>1</v>
      </c>
      <c r="F6" s="103">
        <f>1798.5*L5</f>
        <v>136686</v>
      </c>
      <c r="G6" s="104">
        <f>F6*E6</f>
        <v>136686</v>
      </c>
      <c r="H6" s="105">
        <f t="shared" si="0"/>
        <v>0.55672043010752692</v>
      </c>
      <c r="I6" s="58"/>
      <c r="J6" s="24"/>
      <c r="K6" s="119"/>
      <c r="L6" s="120"/>
      <c r="M6" s="60"/>
    </row>
    <row r="7" spans="1:13" x14ac:dyDescent="0.25">
      <c r="B7" s="46">
        <v>5</v>
      </c>
      <c r="C7" s="54" t="s">
        <v>108</v>
      </c>
      <c r="D7" s="48" t="s">
        <v>78</v>
      </c>
      <c r="E7" s="55">
        <v>100</v>
      </c>
      <c r="F7" s="56">
        <v>50.2</v>
      </c>
      <c r="G7" s="57">
        <f>F7*E7</f>
        <v>5020</v>
      </c>
      <c r="H7" s="98">
        <f t="shared" si="0"/>
        <v>2.0446399478657545E-2</v>
      </c>
      <c r="I7" s="58"/>
      <c r="J7" s="24"/>
      <c r="K7" s="24"/>
      <c r="L7" s="24"/>
      <c r="M7" s="24"/>
    </row>
    <row r="8" spans="1:13" x14ac:dyDescent="0.25">
      <c r="B8" s="99">
        <v>6</v>
      </c>
      <c r="C8" s="100" t="s">
        <v>121</v>
      </c>
      <c r="D8" s="48" t="s">
        <v>75</v>
      </c>
      <c r="E8" s="55">
        <v>1</v>
      </c>
      <c r="F8" s="56">
        <f>4680*L5</f>
        <v>355680</v>
      </c>
      <c r="G8" s="57">
        <f>F8*E8</f>
        <v>355680</v>
      </c>
      <c r="H8" s="98">
        <f t="shared" si="0"/>
        <v>1.4486803519061586</v>
      </c>
      <c r="I8" s="58"/>
      <c r="J8" s="24"/>
      <c r="K8" s="27"/>
      <c r="L8" s="27"/>
      <c r="M8" s="24"/>
    </row>
    <row r="9" spans="1:13" ht="15.75" thickBot="1" x14ac:dyDescent="0.3">
      <c r="B9" s="46">
        <v>8</v>
      </c>
      <c r="C9" s="61" t="s">
        <v>117</v>
      </c>
      <c r="D9" s="92" t="s">
        <v>75</v>
      </c>
      <c r="E9" s="62">
        <v>1</v>
      </c>
      <c r="F9" s="63">
        <v>1000</v>
      </c>
      <c r="G9" s="63">
        <f>F9*E9</f>
        <v>1000</v>
      </c>
      <c r="H9" s="107">
        <f t="shared" si="0"/>
        <v>4.0729879439556863E-3</v>
      </c>
      <c r="I9" s="64"/>
      <c r="J9" s="24"/>
      <c r="K9" s="24"/>
      <c r="L9" s="24"/>
      <c r="M9" s="24"/>
    </row>
    <row r="10" spans="1:13" x14ac:dyDescent="0.25">
      <c r="B10" s="46">
        <v>9</v>
      </c>
      <c r="C10" s="93" t="s">
        <v>82</v>
      </c>
      <c r="D10" s="65"/>
      <c r="E10" s="66"/>
      <c r="F10" s="67"/>
      <c r="G10" s="94">
        <f>SUM(G4:G9)</f>
        <v>589586.80000000005</v>
      </c>
      <c r="H10" s="109">
        <f t="shared" si="0"/>
        <v>2.4013799283154129</v>
      </c>
      <c r="I10" s="68"/>
      <c r="J10" s="29"/>
      <c r="K10" s="24"/>
      <c r="L10" s="24"/>
      <c r="M10" s="24"/>
    </row>
    <row r="11" spans="1:13" x14ac:dyDescent="0.25">
      <c r="B11" s="46">
        <v>10</v>
      </c>
      <c r="C11" s="95" t="s">
        <v>83</v>
      </c>
      <c r="D11" s="91"/>
      <c r="E11" s="55">
        <v>0</v>
      </c>
      <c r="F11" s="57">
        <v>0</v>
      </c>
      <c r="G11" s="69">
        <v>0</v>
      </c>
      <c r="H11" s="108">
        <f t="shared" si="0"/>
        <v>0</v>
      </c>
      <c r="I11" s="97"/>
      <c r="J11" s="29"/>
      <c r="K11" s="24"/>
      <c r="L11" s="24"/>
      <c r="M11" s="24"/>
    </row>
    <row r="12" spans="1:13" x14ac:dyDescent="0.25">
      <c r="B12" s="46">
        <v>11</v>
      </c>
      <c r="C12" s="95" t="s">
        <v>84</v>
      </c>
      <c r="D12" s="91"/>
      <c r="E12" s="55">
        <v>0</v>
      </c>
      <c r="F12" s="57">
        <v>0</v>
      </c>
      <c r="G12" s="69">
        <v>0</v>
      </c>
      <c r="H12" s="108">
        <f t="shared" si="0"/>
        <v>0</v>
      </c>
      <c r="I12" s="97"/>
      <c r="J12" s="29"/>
      <c r="K12" s="24"/>
      <c r="L12" s="24"/>
      <c r="M12" s="24"/>
    </row>
    <row r="13" spans="1:13" ht="15.75" thickBot="1" x14ac:dyDescent="0.3">
      <c r="B13" s="46">
        <v>12</v>
      </c>
      <c r="C13" s="96" t="s">
        <v>85</v>
      </c>
      <c r="D13" s="70" t="s">
        <v>86</v>
      </c>
      <c r="E13" s="71">
        <v>0</v>
      </c>
      <c r="F13" s="72"/>
      <c r="G13" s="73">
        <v>0</v>
      </c>
      <c r="H13" s="110">
        <f t="shared" si="0"/>
        <v>0</v>
      </c>
      <c r="I13" s="74"/>
      <c r="J13" s="29"/>
      <c r="K13" s="24"/>
      <c r="L13" s="24"/>
      <c r="M13" s="24"/>
    </row>
    <row r="14" spans="1:13" x14ac:dyDescent="0.25">
      <c r="B14" s="24"/>
      <c r="C14" s="111" t="s">
        <v>87</v>
      </c>
      <c r="D14" s="112"/>
      <c r="E14" s="113"/>
      <c r="F14" s="114"/>
      <c r="G14" s="115">
        <f>SUM(G10:G13)</f>
        <v>589586.80000000005</v>
      </c>
      <c r="H14" s="116">
        <f t="shared" si="0"/>
        <v>2.4013799283154129</v>
      </c>
      <c r="I14" s="75"/>
      <c r="J14" s="29"/>
      <c r="K14" s="24"/>
      <c r="L14" s="24"/>
      <c r="M14" s="24"/>
    </row>
    <row r="15" spans="1:13" x14ac:dyDescent="0.25">
      <c r="B15" s="24"/>
      <c r="C15" s="76" t="s">
        <v>109</v>
      </c>
      <c r="D15" s="46" t="s">
        <v>86</v>
      </c>
      <c r="E15" s="77">
        <v>0</v>
      </c>
      <c r="F15" s="28"/>
      <c r="G15" s="78">
        <f>G14*E15</f>
        <v>0</v>
      </c>
      <c r="H15" s="117">
        <f t="shared" si="0"/>
        <v>0</v>
      </c>
      <c r="I15" s="75"/>
      <c r="J15" s="29"/>
      <c r="K15" s="24"/>
      <c r="L15" s="24"/>
      <c r="M15" s="24"/>
    </row>
    <row r="16" spans="1:13" x14ac:dyDescent="0.25">
      <c r="A16" s="24"/>
      <c r="B16" s="24"/>
      <c r="C16" s="76" t="s">
        <v>110</v>
      </c>
      <c r="D16" s="46"/>
      <c r="E16" s="77"/>
      <c r="F16" s="28"/>
      <c r="G16" s="78">
        <f>G14+G15</f>
        <v>589586.80000000005</v>
      </c>
      <c r="H16" s="117">
        <f t="shared" si="0"/>
        <v>2.4013799283154129</v>
      </c>
      <c r="I16" s="75"/>
      <c r="J16" s="29"/>
      <c r="K16" s="24"/>
      <c r="L16" s="24"/>
      <c r="M16" s="24"/>
    </row>
    <row r="17" spans="1:13" x14ac:dyDescent="0.25">
      <c r="A17" s="24"/>
      <c r="B17" s="24"/>
      <c r="C17" s="76" t="s">
        <v>90</v>
      </c>
      <c r="D17" s="46"/>
      <c r="E17" s="79"/>
      <c r="F17" s="28"/>
      <c r="G17" s="78">
        <f>G16*0.18</f>
        <v>106125.62400000001</v>
      </c>
      <c r="H17" s="117">
        <f t="shared" si="0"/>
        <v>0.43224838709677432</v>
      </c>
      <c r="I17" s="75"/>
      <c r="J17" s="29"/>
      <c r="K17" s="24"/>
      <c r="L17" s="24"/>
      <c r="M17" s="24"/>
    </row>
    <row r="18" spans="1:13" ht="15.75" thickBot="1" x14ac:dyDescent="0.3">
      <c r="A18" s="24"/>
      <c r="B18" s="24"/>
      <c r="C18" s="80" t="s">
        <v>91</v>
      </c>
      <c r="D18" s="81"/>
      <c r="E18" s="82"/>
      <c r="F18" s="83"/>
      <c r="G18" s="84">
        <f>G16+G17</f>
        <v>695712.42400000012</v>
      </c>
      <c r="H18" s="118">
        <f t="shared" si="0"/>
        <v>2.8336283154121871</v>
      </c>
      <c r="I18" s="85"/>
      <c r="J18" s="29"/>
      <c r="K18" s="86"/>
      <c r="L18" s="24"/>
      <c r="M18" s="24"/>
    </row>
    <row r="19" spans="1:13" x14ac:dyDescent="0.25">
      <c r="A19" s="24"/>
      <c r="B19" s="24"/>
      <c r="C19" s="106" t="s">
        <v>113</v>
      </c>
      <c r="D19" s="24"/>
      <c r="E19" s="24"/>
      <c r="F19" s="31"/>
      <c r="G19" s="31"/>
      <c r="H19" s="24"/>
      <c r="I19" s="24"/>
      <c r="J19" s="29"/>
      <c r="K19" s="24"/>
      <c r="L19" s="24"/>
      <c r="M19" s="24"/>
    </row>
    <row r="20" spans="1:13" x14ac:dyDescent="0.25">
      <c r="A20" s="24"/>
      <c r="B20" s="24"/>
      <c r="C20" s="106" t="s">
        <v>107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x14ac:dyDescent="0.25">
      <c r="A21" s="25"/>
      <c r="B21" s="27"/>
      <c r="C21" s="32"/>
      <c r="D21" s="26"/>
      <c r="E21" s="27"/>
      <c r="F21" s="27"/>
      <c r="G21" s="27"/>
      <c r="H21" s="27"/>
      <c r="I21" s="27"/>
      <c r="J21" s="27"/>
      <c r="K21" s="27"/>
      <c r="L21" s="27"/>
      <c r="M21" s="27"/>
    </row>
    <row r="22" spans="1:13" x14ac:dyDescent="0.25">
      <c r="D22" s="24"/>
      <c r="E22" s="24"/>
      <c r="F22" s="24"/>
      <c r="G22" s="24"/>
    </row>
    <row r="25" spans="1:13" x14ac:dyDescent="0.25">
      <c r="D25" s="24"/>
      <c r="E25" s="24"/>
      <c r="F25" s="24"/>
      <c r="G25" s="87"/>
    </row>
    <row r="26" spans="1:13" x14ac:dyDescent="0.25">
      <c r="D26" s="24"/>
      <c r="E26" s="24"/>
      <c r="F26" s="56"/>
      <c r="G26" s="24"/>
    </row>
    <row r="31" spans="1:13" x14ac:dyDescent="0.25">
      <c r="D31" s="88"/>
      <c r="E31" s="89"/>
      <c r="F31" s="24"/>
      <c r="G31" s="24"/>
    </row>
    <row r="32" spans="1:13" x14ac:dyDescent="0.25">
      <c r="D32" s="24"/>
      <c r="E32" s="89"/>
      <c r="F32" s="24"/>
      <c r="G32" s="24"/>
    </row>
    <row r="35" spans="4:8" x14ac:dyDescent="0.25">
      <c r="D35" s="24"/>
      <c r="E35" s="24"/>
      <c r="F35" s="90"/>
      <c r="G35" s="24"/>
    </row>
    <row r="39" spans="4:8" x14ac:dyDescent="0.25">
      <c r="D39" s="24"/>
      <c r="E39" s="24"/>
      <c r="F39" s="90"/>
      <c r="G39" s="24"/>
      <c r="H39" s="24"/>
    </row>
    <row r="41" spans="4:8" x14ac:dyDescent="0.25">
      <c r="D41" s="88"/>
      <c r="E41" s="89"/>
      <c r="F41" s="24"/>
      <c r="G41" s="24"/>
      <c r="H41" s="24"/>
    </row>
    <row r="42" spans="4:8" x14ac:dyDescent="0.25">
      <c r="D42" s="88"/>
      <c r="E42" s="89"/>
      <c r="F42" s="24"/>
      <c r="G42" s="90"/>
      <c r="H42" s="9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4"/>
  <dimension ref="A1:Y101"/>
  <sheetViews>
    <sheetView workbookViewId="0">
      <selection activeCell="C24" sqref="C24"/>
    </sheetView>
  </sheetViews>
  <sheetFormatPr defaultColWidth="8.85546875" defaultRowHeight="15" x14ac:dyDescent="0.25"/>
  <cols>
    <col min="1" max="1" width="2" style="225" customWidth="1"/>
    <col min="2" max="2" width="4.140625" style="228" customWidth="1"/>
    <col min="3" max="3" width="82.42578125" style="228" customWidth="1"/>
    <col min="4" max="4" width="17.5703125" style="227" bestFit="1" customWidth="1"/>
    <col min="5" max="5" width="10.5703125" style="228" customWidth="1"/>
    <col min="6" max="6" width="19.42578125" style="228" bestFit="1" customWidth="1"/>
    <col min="7" max="7" width="32.140625" style="228" customWidth="1"/>
    <col min="8" max="8" width="12.140625" style="228" customWidth="1"/>
    <col min="9" max="9" width="19.85546875" style="228" customWidth="1"/>
    <col min="10" max="10" width="13.140625" style="228" bestFit="1" customWidth="1"/>
    <col min="11" max="11" width="20.42578125" style="228" customWidth="1"/>
    <col min="12" max="12" width="16.42578125" style="228" customWidth="1"/>
    <col min="13" max="13" width="17.140625" style="228" customWidth="1"/>
    <col min="14" max="14" width="4.42578125" style="228" customWidth="1"/>
    <col min="15" max="15" width="62.140625" style="229" customWidth="1"/>
    <col min="16" max="17" width="19.5703125" style="228" customWidth="1"/>
    <col min="18" max="18" width="17.42578125" style="228" customWidth="1"/>
    <col min="19" max="19" width="19.85546875" style="228" customWidth="1"/>
    <col min="20" max="20" width="8.85546875" style="228" customWidth="1"/>
    <col min="21" max="21" width="20.140625" style="228" customWidth="1"/>
    <col min="22" max="22" width="11.85546875" style="228" bestFit="1" customWidth="1"/>
    <col min="23" max="23" width="8.85546875" style="228"/>
    <col min="24" max="24" width="36.140625" style="228" customWidth="1"/>
    <col min="25" max="25" width="9.5703125" style="228" bestFit="1" customWidth="1"/>
    <col min="26" max="16384" width="8.85546875" style="228"/>
  </cols>
  <sheetData>
    <row r="1" spans="2:18" x14ac:dyDescent="0.25">
      <c r="B1" s="226"/>
      <c r="C1" s="226"/>
    </row>
    <row r="2" spans="2:18" ht="15.75" x14ac:dyDescent="0.25">
      <c r="B2" s="230"/>
      <c r="C2" s="230" t="s">
        <v>166</v>
      </c>
      <c r="D2" s="231">
        <v>10.95</v>
      </c>
      <c r="E2" s="232" t="s">
        <v>64</v>
      </c>
    </row>
    <row r="3" spans="2:18" ht="16.5" thickBot="1" x14ac:dyDescent="0.3">
      <c r="B3" s="233"/>
      <c r="C3" s="230" t="s">
        <v>167</v>
      </c>
      <c r="D3" s="232">
        <v>365</v>
      </c>
      <c r="E3" s="232" t="s">
        <v>168</v>
      </c>
      <c r="F3" s="234"/>
      <c r="G3" s="235"/>
      <c r="H3" s="234"/>
    </row>
    <row r="4" spans="2:18" ht="32.25" thickBot="1" x14ac:dyDescent="0.3">
      <c r="B4" s="233"/>
      <c r="C4" s="230" t="s">
        <v>169</v>
      </c>
      <c r="D4" s="236">
        <v>40</v>
      </c>
      <c r="E4" s="232" t="s">
        <v>80</v>
      </c>
      <c r="F4" s="234"/>
      <c r="G4" s="237" t="s">
        <v>170</v>
      </c>
      <c r="H4" s="234"/>
    </row>
    <row r="5" spans="2:18" ht="15.75" x14ac:dyDescent="0.25">
      <c r="B5" s="233"/>
      <c r="C5" s="230"/>
      <c r="D5" s="231"/>
      <c r="E5" s="232"/>
      <c r="F5" s="234"/>
      <c r="G5" s="235"/>
      <c r="H5" s="234"/>
    </row>
    <row r="6" spans="2:18" ht="15.75" x14ac:dyDescent="0.25">
      <c r="B6" s="233"/>
      <c r="C6" s="230" t="s">
        <v>171</v>
      </c>
      <c r="D6" s="238">
        <v>100</v>
      </c>
      <c r="E6" s="232" t="s">
        <v>172</v>
      </c>
      <c r="F6" s="234"/>
      <c r="G6" s="235"/>
      <c r="H6" s="234"/>
    </row>
    <row r="7" spans="2:18" ht="15.75" x14ac:dyDescent="0.25">
      <c r="B7" s="233"/>
      <c r="C7" s="230" t="s">
        <v>173</v>
      </c>
      <c r="D7" s="232">
        <v>3.2</v>
      </c>
      <c r="E7" s="232" t="s">
        <v>174</v>
      </c>
      <c r="F7" s="234"/>
      <c r="H7" s="234"/>
    </row>
    <row r="8" spans="2:18" ht="15.75" x14ac:dyDescent="0.25">
      <c r="B8" s="233"/>
      <c r="C8" s="230" t="s">
        <v>175</v>
      </c>
      <c r="D8" s="232">
        <v>4</v>
      </c>
      <c r="E8" s="232" t="s">
        <v>75</v>
      </c>
      <c r="F8" s="234"/>
      <c r="H8" s="234"/>
    </row>
    <row r="9" spans="2:18" ht="15.75" x14ac:dyDescent="0.25">
      <c r="B9" s="233"/>
      <c r="C9" s="230" t="s">
        <v>176</v>
      </c>
      <c r="D9" s="232">
        <v>16</v>
      </c>
      <c r="E9" s="232" t="s">
        <v>75</v>
      </c>
      <c r="F9" s="234"/>
      <c r="G9" s="235"/>
      <c r="H9" s="234"/>
    </row>
    <row r="10" spans="2:18" ht="15.75" x14ac:dyDescent="0.25">
      <c r="B10" s="233"/>
      <c r="C10" s="230" t="s">
        <v>177</v>
      </c>
      <c r="D10" s="238">
        <f>ROUNDUP(D4*1000/(D7*D6*D8*D9),0)</f>
        <v>2</v>
      </c>
      <c r="E10" s="232" t="s">
        <v>75</v>
      </c>
      <c r="F10" s="234"/>
      <c r="G10" s="235"/>
      <c r="H10" s="235"/>
      <c r="I10" s="235"/>
    </row>
    <row r="11" spans="2:18" ht="15.75" x14ac:dyDescent="0.25">
      <c r="B11" s="233"/>
      <c r="C11" s="230"/>
      <c r="D11" s="238"/>
      <c r="E11" s="232"/>
      <c r="F11" s="234"/>
      <c r="G11" s="235"/>
      <c r="H11" s="235"/>
      <c r="I11" s="235"/>
    </row>
    <row r="12" spans="2:18" ht="15.75" x14ac:dyDescent="0.25">
      <c r="B12" s="233"/>
      <c r="C12" s="230" t="s">
        <v>178</v>
      </c>
      <c r="D12" s="238">
        <f>D6*D7*D15*D14*D10/1000</f>
        <v>40.96</v>
      </c>
      <c r="E12" s="232" t="s">
        <v>80</v>
      </c>
      <c r="F12" s="239"/>
      <c r="G12" s="235"/>
      <c r="H12" s="235"/>
      <c r="I12" s="235"/>
    </row>
    <row r="13" spans="2:18" ht="15.75" x14ac:dyDescent="0.25">
      <c r="B13" s="233"/>
      <c r="C13" s="230" t="s">
        <v>179</v>
      </c>
      <c r="D13" s="232">
        <v>0.9</v>
      </c>
      <c r="E13" s="232" t="s">
        <v>180</v>
      </c>
      <c r="F13" s="240" t="s">
        <v>181</v>
      </c>
      <c r="G13" s="235"/>
      <c r="H13" s="234"/>
    </row>
    <row r="14" spans="2:18" ht="15.75" x14ac:dyDescent="0.25">
      <c r="B14" s="233"/>
      <c r="C14" s="241" t="s">
        <v>182</v>
      </c>
      <c r="D14" s="232">
        <f>ROUNDUP((D4*1000/D10)/(D15*D6*D7),0)</f>
        <v>4</v>
      </c>
      <c r="E14" s="232"/>
      <c r="G14" s="235"/>
      <c r="H14" s="234"/>
    </row>
    <row r="15" spans="2:18" ht="15.75" x14ac:dyDescent="0.25">
      <c r="B15" s="233"/>
      <c r="C15" s="241" t="s">
        <v>183</v>
      </c>
      <c r="D15" s="232">
        <f>D9</f>
        <v>16</v>
      </c>
      <c r="E15" s="232"/>
      <c r="F15" s="239"/>
      <c r="G15" s="235"/>
      <c r="H15" s="234"/>
      <c r="M15" s="242"/>
      <c r="N15" s="242"/>
      <c r="O15" s="243"/>
      <c r="P15" s="242"/>
      <c r="Q15" s="242"/>
      <c r="R15" s="242"/>
    </row>
    <row r="16" spans="2:18" ht="15.75" x14ac:dyDescent="0.25">
      <c r="B16" s="233"/>
      <c r="C16" s="241"/>
      <c r="D16" s="232"/>
      <c r="E16" s="232"/>
      <c r="F16" s="239"/>
      <c r="G16" s="235"/>
      <c r="H16" s="234"/>
      <c r="M16" s="242"/>
      <c r="N16" s="244"/>
      <c r="O16" s="245"/>
      <c r="P16" s="244"/>
      <c r="Q16" s="244"/>
      <c r="R16" s="242"/>
    </row>
    <row r="17" spans="2:25" ht="15.75" x14ac:dyDescent="0.25">
      <c r="B17" s="233"/>
      <c r="C17" s="241" t="s">
        <v>184</v>
      </c>
      <c r="D17" s="232">
        <f>D7*D15</f>
        <v>51.2</v>
      </c>
      <c r="E17" s="232"/>
      <c r="F17" s="234"/>
      <c r="G17" s="235"/>
      <c r="H17" s="234"/>
      <c r="M17" s="242"/>
      <c r="N17" s="244"/>
      <c r="O17" s="245"/>
      <c r="P17" s="244"/>
      <c r="Q17" s="244"/>
      <c r="R17" s="242"/>
    </row>
    <row r="18" spans="2:25" ht="15.75" x14ac:dyDescent="0.25">
      <c r="B18" s="233"/>
      <c r="C18" s="241"/>
      <c r="D18" s="232"/>
      <c r="E18" s="232"/>
      <c r="F18" s="239"/>
      <c r="G18" s="235"/>
      <c r="H18" s="234"/>
      <c r="M18" s="242"/>
      <c r="N18" s="244"/>
      <c r="O18" s="559"/>
      <c r="P18" s="244"/>
      <c r="Q18" s="244"/>
      <c r="R18" s="242"/>
    </row>
    <row r="19" spans="2:25" ht="15.75" x14ac:dyDescent="0.25">
      <c r="B19" s="233"/>
      <c r="C19" s="230"/>
      <c r="D19" s="232"/>
      <c r="E19" s="232"/>
      <c r="F19" s="228">
        <v>3</v>
      </c>
      <c r="G19" s="246" t="s">
        <v>65</v>
      </c>
      <c r="H19" s="228">
        <v>15</v>
      </c>
      <c r="M19" s="242"/>
      <c r="N19" s="244"/>
      <c r="O19" s="559"/>
      <c r="P19" s="244"/>
      <c r="Q19" s="244"/>
      <c r="R19" s="242"/>
    </row>
    <row r="20" spans="2:25" ht="31.5" x14ac:dyDescent="0.25">
      <c r="B20" s="247" t="s">
        <v>33</v>
      </c>
      <c r="C20" s="247" t="s">
        <v>0</v>
      </c>
      <c r="D20" s="248" t="s">
        <v>68</v>
      </c>
      <c r="E20" s="247" t="s">
        <v>69</v>
      </c>
      <c r="F20" s="248" t="s">
        <v>70</v>
      </c>
      <c r="G20" s="248" t="s">
        <v>71</v>
      </c>
      <c r="H20" s="248" t="s">
        <v>72</v>
      </c>
      <c r="I20" s="248" t="s">
        <v>185</v>
      </c>
      <c r="K20" s="228" t="s">
        <v>66</v>
      </c>
      <c r="L20" s="249">
        <f>D2*1000</f>
        <v>10950</v>
      </c>
      <c r="M20" s="242"/>
      <c r="N20" s="244"/>
      <c r="O20" s="245"/>
      <c r="P20" s="244"/>
      <c r="Q20" s="244"/>
      <c r="R20" s="242"/>
    </row>
    <row r="21" spans="2:25" ht="15.75" x14ac:dyDescent="0.25">
      <c r="B21" s="250">
        <v>1</v>
      </c>
      <c r="C21" s="241" t="str">
        <f>CONCATENATE("Фотоэлектрические модули ",TEXT(D3,0)," Вт")</f>
        <v>Фотоэлектрические модули 365 Вт</v>
      </c>
      <c r="D21" s="250" t="s">
        <v>75</v>
      </c>
      <c r="E21" s="251">
        <v>28</v>
      </c>
      <c r="F21" s="252">
        <f>0.28*D3*L21</f>
        <v>6643</v>
      </c>
      <c r="G21" s="253">
        <f>E21*F21</f>
        <v>186004</v>
      </c>
      <c r="H21" s="254">
        <f>G21/$L$20/$L$21</f>
        <v>0.26133333333333336</v>
      </c>
      <c r="I21" s="255">
        <f>G21/$G$46</f>
        <v>6.4966037117039702E-2</v>
      </c>
      <c r="K21" s="228" t="s">
        <v>186</v>
      </c>
      <c r="L21" s="256">
        <v>65</v>
      </c>
      <c r="M21" s="242"/>
      <c r="N21" s="257"/>
      <c r="O21" s="245"/>
      <c r="P21" s="258"/>
      <c r="Q21" s="259"/>
      <c r="R21" s="260"/>
      <c r="U21" s="261"/>
      <c r="Y21" s="261"/>
    </row>
    <row r="22" spans="2:25" ht="20.25" customHeight="1" x14ac:dyDescent="0.25">
      <c r="B22" s="250">
        <v>2</v>
      </c>
      <c r="C22" s="241" t="s">
        <v>187</v>
      </c>
      <c r="D22" s="250" t="s">
        <v>75</v>
      </c>
      <c r="E22" s="251">
        <v>1</v>
      </c>
      <c r="F22" s="262">
        <f>200000</f>
        <v>200000</v>
      </c>
      <c r="G22" s="253">
        <f>F22*E22</f>
        <v>200000</v>
      </c>
      <c r="H22" s="254">
        <f t="shared" ref="H22:H46" si="0">G22/$L$20/$L$21</f>
        <v>0.28099754127151388</v>
      </c>
      <c r="I22" s="255">
        <f>G22/$G$46</f>
        <v>6.9854451643018109E-2</v>
      </c>
      <c r="K22" s="228" t="s">
        <v>188</v>
      </c>
      <c r="L22" s="263">
        <v>78</v>
      </c>
      <c r="M22" s="242"/>
      <c r="N22" s="257"/>
      <c r="O22" s="245"/>
      <c r="P22" s="258"/>
      <c r="Q22" s="259"/>
      <c r="R22" s="260"/>
      <c r="U22" s="261"/>
      <c r="Y22" s="261"/>
    </row>
    <row r="23" spans="2:25" ht="15.75" x14ac:dyDescent="0.25">
      <c r="B23" s="250">
        <v>3</v>
      </c>
      <c r="C23" s="241" t="s">
        <v>189</v>
      </c>
      <c r="D23" s="250" t="s">
        <v>75</v>
      </c>
      <c r="E23" s="264">
        <v>3</v>
      </c>
      <c r="F23" s="262">
        <f>(357)*L22</f>
        <v>27846</v>
      </c>
      <c r="G23" s="253">
        <f t="shared" ref="G23:G29" si="1">F23*E23</f>
        <v>83538</v>
      </c>
      <c r="H23" s="254">
        <f t="shared" si="0"/>
        <v>0.11736986301369863</v>
      </c>
      <c r="I23" s="255">
        <f>G23/$G$46</f>
        <v>2.9177505906772237E-2</v>
      </c>
      <c r="M23" s="242"/>
      <c r="N23" s="257"/>
      <c r="O23" s="245"/>
      <c r="P23" s="258"/>
      <c r="Q23" s="259"/>
      <c r="R23" s="260"/>
      <c r="U23" s="261"/>
      <c r="Y23" s="261"/>
    </row>
    <row r="24" spans="2:25" ht="15.75" x14ac:dyDescent="0.25">
      <c r="B24" s="250">
        <v>4</v>
      </c>
      <c r="C24" s="241" t="s">
        <v>190</v>
      </c>
      <c r="D24" s="250" t="s">
        <v>75</v>
      </c>
      <c r="E24" s="264">
        <v>1</v>
      </c>
      <c r="F24" s="262">
        <f>(165)*L22</f>
        <v>12870</v>
      </c>
      <c r="G24" s="253">
        <f>F24*E24</f>
        <v>12870</v>
      </c>
      <c r="H24" s="254"/>
      <c r="I24" s="255"/>
      <c r="M24" s="242"/>
      <c r="N24" s="257"/>
      <c r="O24" s="245"/>
      <c r="P24" s="258"/>
      <c r="Q24" s="259"/>
      <c r="R24" s="260"/>
      <c r="U24" s="261"/>
      <c r="Y24" s="261"/>
    </row>
    <row r="25" spans="2:25" ht="15.75" x14ac:dyDescent="0.25">
      <c r="B25" s="250">
        <v>5</v>
      </c>
      <c r="C25" s="265" t="s">
        <v>191</v>
      </c>
      <c r="D25" s="250" t="s">
        <v>75</v>
      </c>
      <c r="E25" s="264">
        <v>3</v>
      </c>
      <c r="F25" s="262">
        <f>(2187)*L22</f>
        <v>170586</v>
      </c>
      <c r="G25" s="253">
        <f>F25*E25</f>
        <v>511758</v>
      </c>
      <c r="H25" s="254"/>
      <c r="I25" s="255"/>
      <c r="M25" s="242"/>
      <c r="N25" s="257"/>
      <c r="O25" s="245"/>
      <c r="P25" s="258"/>
      <c r="Q25" s="259"/>
      <c r="R25" s="260"/>
      <c r="U25" s="261"/>
      <c r="Y25" s="261"/>
    </row>
    <row r="26" spans="2:25" ht="15.75" x14ac:dyDescent="0.25">
      <c r="B26" s="250">
        <v>6</v>
      </c>
      <c r="C26" s="241" t="s">
        <v>192</v>
      </c>
      <c r="D26" s="250" t="s">
        <v>75</v>
      </c>
      <c r="E26" s="264">
        <v>1</v>
      </c>
      <c r="F26" s="262">
        <v>30000</v>
      </c>
      <c r="G26" s="262">
        <v>30000</v>
      </c>
      <c r="H26" s="254"/>
      <c r="I26" s="255"/>
      <c r="M26" s="242"/>
      <c r="N26" s="257"/>
      <c r="O26" s="245"/>
      <c r="P26" s="258"/>
      <c r="Q26" s="259"/>
      <c r="R26" s="260"/>
      <c r="U26" s="261"/>
      <c r="Y26" s="261"/>
    </row>
    <row r="27" spans="2:25" ht="15.75" x14ac:dyDescent="0.25">
      <c r="B27" s="250">
        <v>7</v>
      </c>
      <c r="C27" s="266" t="str">
        <f>CONCATENATE("аккумулятор LiFePO4 GBS",TEXT(D6,0)," Ач +ЗИП5%")</f>
        <v>аккумулятор LiFePO4 GBS100 Ач +ЗИП5%</v>
      </c>
      <c r="D27" s="250" t="s">
        <v>75</v>
      </c>
      <c r="E27" s="267">
        <f>ROUND(D15*D14*D10*1,0)</f>
        <v>128</v>
      </c>
      <c r="F27" s="268">
        <f>D13*D6*L21</f>
        <v>5850</v>
      </c>
      <c r="G27" s="253">
        <f t="shared" si="1"/>
        <v>748800</v>
      </c>
      <c r="H27" s="254">
        <f t="shared" si="0"/>
        <v>1.0520547945205481</v>
      </c>
      <c r="I27" s="255">
        <f t="shared" ref="I27:I33" si="2">G27/$G$46</f>
        <v>0.26153506695145978</v>
      </c>
      <c r="L27" s="269"/>
      <c r="M27" s="242"/>
      <c r="N27" s="257"/>
      <c r="O27" s="245"/>
      <c r="P27" s="258"/>
      <c r="Q27" s="259"/>
      <c r="R27" s="260"/>
      <c r="U27" s="261"/>
      <c r="Y27" s="261"/>
    </row>
    <row r="28" spans="2:25" ht="15.75" x14ac:dyDescent="0.25">
      <c r="B28" s="250">
        <v>8</v>
      </c>
      <c r="C28" s="270" t="s">
        <v>193</v>
      </c>
      <c r="D28" s="250" t="s">
        <v>75</v>
      </c>
      <c r="E28" s="264">
        <f>E27</f>
        <v>128</v>
      </c>
      <c r="F28" s="262">
        <v>1200</v>
      </c>
      <c r="G28" s="253">
        <f t="shared" si="1"/>
        <v>153600</v>
      </c>
      <c r="H28" s="254">
        <f t="shared" si="0"/>
        <v>0.21580611169652264</v>
      </c>
      <c r="I28" s="255">
        <f t="shared" si="2"/>
        <v>5.3648218861837911E-2</v>
      </c>
      <c r="L28" s="269"/>
      <c r="M28" s="242"/>
      <c r="N28" s="257"/>
      <c r="O28" s="245"/>
      <c r="P28" s="258"/>
      <c r="Q28" s="259"/>
      <c r="R28" s="260"/>
      <c r="U28" s="261"/>
      <c r="Y28" s="261"/>
    </row>
    <row r="29" spans="2:25" ht="15.75" x14ac:dyDescent="0.25">
      <c r="B29" s="250">
        <v>9</v>
      </c>
      <c r="C29" s="270" t="s">
        <v>194</v>
      </c>
      <c r="D29" s="250" t="s">
        <v>75</v>
      </c>
      <c r="E29" s="264">
        <f>D10</f>
        <v>2</v>
      </c>
      <c r="F29" s="262">
        <v>5000</v>
      </c>
      <c r="G29" s="253">
        <f t="shared" si="1"/>
        <v>10000</v>
      </c>
      <c r="H29" s="254">
        <f t="shared" si="0"/>
        <v>1.4049877063575692E-2</v>
      </c>
      <c r="I29" s="255">
        <f t="shared" si="2"/>
        <v>3.4927225821509058E-3</v>
      </c>
      <c r="L29" s="269"/>
      <c r="M29" s="242"/>
      <c r="N29" s="244"/>
      <c r="O29" s="245"/>
      <c r="P29" s="258"/>
      <c r="Q29" s="259"/>
      <c r="R29" s="260"/>
      <c r="U29" s="261"/>
      <c r="Y29" s="261"/>
    </row>
    <row r="30" spans="2:25" ht="15.75" x14ac:dyDescent="0.25">
      <c r="B30" s="250">
        <v>10</v>
      </c>
      <c r="C30" s="270" t="s">
        <v>195</v>
      </c>
      <c r="D30" s="250" t="s">
        <v>75</v>
      </c>
      <c r="E30" s="264">
        <v>1</v>
      </c>
      <c r="F30" s="262">
        <v>25967</v>
      </c>
      <c r="G30" s="253">
        <f>F30*E30</f>
        <v>25967</v>
      </c>
      <c r="H30" s="254">
        <f t="shared" si="0"/>
        <v>3.6483315770986999E-2</v>
      </c>
      <c r="I30" s="255">
        <f t="shared" si="2"/>
        <v>9.0695527290712563E-3</v>
      </c>
      <c r="M30" s="242"/>
      <c r="N30" s="244"/>
      <c r="O30" s="245"/>
      <c r="P30" s="258"/>
      <c r="Q30" s="259"/>
      <c r="R30" s="260"/>
      <c r="U30" s="261"/>
      <c r="Y30" s="261"/>
    </row>
    <row r="31" spans="2:25" ht="15.75" x14ac:dyDescent="0.25">
      <c r="B31" s="250">
        <v>11</v>
      </c>
      <c r="C31" s="270" t="s">
        <v>196</v>
      </c>
      <c r="D31" s="250" t="s">
        <v>75</v>
      </c>
      <c r="E31" s="264">
        <f>E29</f>
        <v>2</v>
      </c>
      <c r="F31" s="262">
        <v>10300</v>
      </c>
      <c r="G31" s="253">
        <f>F31*E31</f>
        <v>20600</v>
      </c>
      <c r="H31" s="254">
        <f t="shared" si="0"/>
        <v>2.8942746750965927E-2</v>
      </c>
      <c r="I31" s="255">
        <f t="shared" si="2"/>
        <v>7.1950085192308659E-3</v>
      </c>
      <c r="M31" s="242"/>
      <c r="N31" s="244"/>
      <c r="O31" s="245"/>
      <c r="P31" s="244"/>
      <c r="Q31" s="259"/>
      <c r="R31" s="260"/>
      <c r="U31" s="261"/>
      <c r="Y31" s="261"/>
    </row>
    <row r="32" spans="2:25" ht="15.75" x14ac:dyDescent="0.25">
      <c r="B32" s="250">
        <v>12</v>
      </c>
      <c r="C32" s="270" t="s">
        <v>197</v>
      </c>
      <c r="D32" s="250" t="s">
        <v>75</v>
      </c>
      <c r="E32" s="264">
        <f>E28</f>
        <v>128</v>
      </c>
      <c r="F32" s="262">
        <v>400</v>
      </c>
      <c r="G32" s="253">
        <f>F32*E32</f>
        <v>51200</v>
      </c>
      <c r="H32" s="254">
        <f t="shared" si="0"/>
        <v>7.1935370565507542E-2</v>
      </c>
      <c r="I32" s="255">
        <f t="shared" si="2"/>
        <v>1.7882739620612636E-2</v>
      </c>
      <c r="M32" s="242"/>
      <c r="N32" s="244"/>
      <c r="O32" s="245"/>
      <c r="P32" s="271"/>
      <c r="Q32" s="259"/>
      <c r="R32" s="260"/>
      <c r="U32" s="261"/>
      <c r="Y32" s="261"/>
    </row>
    <row r="33" spans="2:25" ht="15.75" x14ac:dyDescent="0.25">
      <c r="B33" s="250">
        <v>13</v>
      </c>
      <c r="C33" s="270" t="s">
        <v>198</v>
      </c>
      <c r="D33" s="250" t="s">
        <v>199</v>
      </c>
      <c r="E33" s="264">
        <v>1</v>
      </c>
      <c r="F33" s="268"/>
      <c r="G33" s="253">
        <f>100000/358*E27</f>
        <v>35754.189944134079</v>
      </c>
      <c r="H33" s="254">
        <f t="shared" si="0"/>
        <v>5.0234197322281814E-2</v>
      </c>
      <c r="I33" s="255">
        <f t="shared" si="2"/>
        <v>1.2487946662438992E-2</v>
      </c>
      <c r="M33" s="242"/>
      <c r="N33" s="244"/>
      <c r="O33" s="245"/>
      <c r="P33" s="271"/>
      <c r="Q33" s="259"/>
      <c r="R33" s="260"/>
      <c r="U33" s="261"/>
      <c r="Y33" s="261"/>
    </row>
    <row r="34" spans="2:25" ht="15.75" x14ac:dyDescent="0.25">
      <c r="B34" s="250"/>
      <c r="C34" s="272" t="s">
        <v>200</v>
      </c>
      <c r="D34" s="250" t="s">
        <v>75</v>
      </c>
      <c r="E34" s="264">
        <v>1</v>
      </c>
      <c r="F34" s="268">
        <f>700000/1.18</f>
        <v>593220.3389830509</v>
      </c>
      <c r="G34" s="253">
        <f t="shared" ref="G34:G41" si="3">F34*E34</f>
        <v>593220.3389830509</v>
      </c>
      <c r="H34" s="254"/>
      <c r="I34" s="255"/>
      <c r="M34" s="242"/>
      <c r="N34" s="242"/>
      <c r="O34" s="243"/>
      <c r="P34" s="242"/>
      <c r="Q34" s="273"/>
      <c r="R34" s="260"/>
      <c r="U34" s="261"/>
      <c r="Y34" s="261"/>
    </row>
    <row r="35" spans="2:25" ht="15.75" x14ac:dyDescent="0.25">
      <c r="B35" s="250"/>
      <c r="C35" s="274" t="s">
        <v>201</v>
      </c>
      <c r="D35" s="250"/>
      <c r="E35" s="264"/>
      <c r="F35" s="268"/>
      <c r="G35" s="253"/>
      <c r="H35" s="254"/>
      <c r="I35" s="255"/>
      <c r="M35" s="242"/>
      <c r="N35" s="242"/>
      <c r="O35" s="243"/>
      <c r="P35" s="242"/>
      <c r="Q35" s="273"/>
      <c r="R35" s="260"/>
      <c r="U35" s="261"/>
      <c r="Y35" s="261"/>
    </row>
    <row r="36" spans="2:25" ht="15.75" x14ac:dyDescent="0.25">
      <c r="B36" s="250">
        <v>17</v>
      </c>
      <c r="C36" s="241" t="s">
        <v>202</v>
      </c>
      <c r="D36" s="250" t="s">
        <v>203</v>
      </c>
      <c r="E36" s="275">
        <v>150</v>
      </c>
      <c r="F36" s="262">
        <f>0.71*L22/1.18</f>
        <v>46.932203389830505</v>
      </c>
      <c r="G36" s="253">
        <f t="shared" si="3"/>
        <v>7039.8305084745762</v>
      </c>
      <c r="H36" s="254">
        <f t="shared" si="0"/>
        <v>9.8908753192477362E-3</v>
      </c>
      <c r="I36" s="255">
        <f>G36/$G$46</f>
        <v>2.4588174991464046E-3</v>
      </c>
      <c r="M36" s="276"/>
      <c r="N36" s="242"/>
      <c r="O36" s="243"/>
      <c r="P36" s="242"/>
      <c r="Q36" s="273"/>
      <c r="R36" s="260"/>
      <c r="U36" s="261"/>
    </row>
    <row r="37" spans="2:25" ht="15.75" x14ac:dyDescent="0.25">
      <c r="B37" s="250">
        <v>18</v>
      </c>
      <c r="C37" s="241" t="s">
        <v>96</v>
      </c>
      <c r="D37" s="250" t="s">
        <v>75</v>
      </c>
      <c r="E37" s="264">
        <f>F19*2</f>
        <v>6</v>
      </c>
      <c r="F37" s="277">
        <f>0.74*L22</f>
        <v>57.72</v>
      </c>
      <c r="G37" s="253">
        <f t="shared" si="3"/>
        <v>346.32</v>
      </c>
      <c r="H37" s="254">
        <f t="shared" si="0"/>
        <v>4.865753424657534E-4</v>
      </c>
      <c r="I37" s="255">
        <f>G37/$G$46</f>
        <v>1.2095996846505016E-4</v>
      </c>
      <c r="M37" s="242"/>
      <c r="N37" s="242"/>
      <c r="O37" s="243"/>
      <c r="P37" s="273"/>
      <c r="Q37" s="278"/>
      <c r="R37" s="278"/>
      <c r="U37" s="261"/>
    </row>
    <row r="38" spans="2:25" ht="15.75" x14ac:dyDescent="0.25">
      <c r="B38" s="250">
        <v>21</v>
      </c>
      <c r="C38" s="241" t="s">
        <v>204</v>
      </c>
      <c r="D38" s="250" t="s">
        <v>75</v>
      </c>
      <c r="E38" s="264">
        <v>1</v>
      </c>
      <c r="F38" s="279">
        <v>50000</v>
      </c>
      <c r="G38" s="253">
        <f t="shared" si="3"/>
        <v>50000</v>
      </c>
      <c r="H38" s="254">
        <f t="shared" si="0"/>
        <v>7.0249385317878471E-2</v>
      </c>
      <c r="I38" s="255">
        <f>G38/$G$46</f>
        <v>1.7463612910754527E-2</v>
      </c>
      <c r="L38" s="280"/>
      <c r="M38" s="280"/>
      <c r="S38" s="281"/>
      <c r="T38" s="281"/>
    </row>
    <row r="39" spans="2:25" ht="15.75" x14ac:dyDescent="0.25">
      <c r="B39" s="250">
        <v>26</v>
      </c>
      <c r="C39" s="241" t="s">
        <v>205</v>
      </c>
      <c r="D39" s="282" t="s">
        <v>206</v>
      </c>
      <c r="E39" s="264">
        <v>1</v>
      </c>
      <c r="F39" s="283">
        <f>5000*D2/1.18</f>
        <v>46398.305084745763</v>
      </c>
      <c r="G39" s="253">
        <f t="shared" si="3"/>
        <v>46398.305084745763</v>
      </c>
      <c r="H39" s="254">
        <f t="shared" si="0"/>
        <v>6.51890482398957E-2</v>
      </c>
      <c r="I39" s="255">
        <f>G39/$G$46</f>
        <v>1.6205640794301871E-2</v>
      </c>
      <c r="L39" s="280"/>
      <c r="M39" s="284"/>
      <c r="N39" s="280"/>
      <c r="S39" s="281"/>
      <c r="T39" s="281"/>
    </row>
    <row r="40" spans="2:25" ht="15.75" x14ac:dyDescent="0.25">
      <c r="B40" s="250"/>
      <c r="C40" s="241" t="s">
        <v>207</v>
      </c>
      <c r="D40" s="282" t="s">
        <v>75</v>
      </c>
      <c r="E40" s="264">
        <v>8</v>
      </c>
      <c r="F40" s="283">
        <v>12000</v>
      </c>
      <c r="G40" s="253">
        <f t="shared" si="3"/>
        <v>96000</v>
      </c>
      <c r="H40" s="254"/>
      <c r="I40" s="273"/>
      <c r="L40" s="280"/>
      <c r="M40" s="284"/>
      <c r="N40" s="280"/>
      <c r="S40" s="281"/>
      <c r="T40" s="281"/>
    </row>
    <row r="41" spans="2:25" ht="15.75" x14ac:dyDescent="0.25">
      <c r="B41" s="250"/>
      <c r="C41" s="285" t="s">
        <v>208</v>
      </c>
      <c r="D41" s="247"/>
      <c r="E41" s="286">
        <v>2</v>
      </c>
      <c r="F41" s="287">
        <v>375000</v>
      </c>
      <c r="G41" s="253">
        <f t="shared" si="3"/>
        <v>750000</v>
      </c>
      <c r="H41" s="254">
        <f t="shared" si="0"/>
        <v>1.053740779768177</v>
      </c>
      <c r="I41" s="288"/>
      <c r="K41" s="289"/>
      <c r="L41" s="290"/>
      <c r="M41" s="290"/>
      <c r="N41" s="291"/>
      <c r="O41" s="292"/>
      <c r="P41" s="284"/>
      <c r="Q41" s="284"/>
      <c r="R41" s="284"/>
      <c r="S41" s="281"/>
      <c r="T41" s="281"/>
      <c r="U41" s="284"/>
    </row>
    <row r="42" spans="2:25" ht="15.75" x14ac:dyDescent="0.25">
      <c r="B42" s="250"/>
      <c r="C42" s="285" t="s">
        <v>92</v>
      </c>
      <c r="D42" s="247"/>
      <c r="E42" s="286">
        <v>1</v>
      </c>
      <c r="F42" s="283">
        <v>150000</v>
      </c>
      <c r="G42" s="253">
        <f>E42*F42</f>
        <v>150000</v>
      </c>
      <c r="H42" s="254">
        <f t="shared" si="0"/>
        <v>0.21074815595363541</v>
      </c>
      <c r="I42" s="288"/>
      <c r="K42" s="289"/>
      <c r="L42" s="289"/>
      <c r="M42" s="293"/>
      <c r="N42" s="281"/>
      <c r="O42" s="294"/>
      <c r="P42" s="295"/>
      <c r="Q42" s="295"/>
      <c r="R42" s="295"/>
      <c r="S42" s="281"/>
      <c r="T42" s="281"/>
      <c r="U42" s="295"/>
    </row>
    <row r="43" spans="2:25" ht="15.75" x14ac:dyDescent="0.25">
      <c r="B43" s="250"/>
      <c r="C43" s="285" t="s">
        <v>209</v>
      </c>
      <c r="D43" s="247"/>
      <c r="E43" s="286">
        <v>0</v>
      </c>
      <c r="F43" s="283">
        <v>2500000</v>
      </c>
      <c r="G43" s="253">
        <f>F43*E43</f>
        <v>0</v>
      </c>
      <c r="H43" s="254">
        <f t="shared" si="0"/>
        <v>0</v>
      </c>
      <c r="I43" s="288"/>
      <c r="K43" s="289"/>
      <c r="L43" s="289"/>
      <c r="M43" s="293"/>
      <c r="N43" s="281"/>
      <c r="O43" s="294"/>
      <c r="P43" s="295"/>
      <c r="Q43" s="295"/>
      <c r="R43" s="295"/>
      <c r="S43" s="281"/>
      <c r="T43" s="281"/>
      <c r="U43" s="295"/>
    </row>
    <row r="44" spans="2:25" ht="36.75" customHeight="1" x14ac:dyDescent="0.25">
      <c r="B44" s="250"/>
      <c r="C44" s="296"/>
      <c r="D44" s="247"/>
      <c r="E44" s="297"/>
      <c r="F44" s="283"/>
      <c r="G44" s="253">
        <f>F44</f>
        <v>0</v>
      </c>
      <c r="H44" s="254">
        <f t="shared" si="0"/>
        <v>0</v>
      </c>
      <c r="I44" s="298"/>
      <c r="K44" s="289"/>
      <c r="L44" s="289"/>
      <c r="M44" s="293"/>
      <c r="N44" s="281"/>
      <c r="O44" s="294"/>
      <c r="P44" s="295"/>
      <c r="Q44" s="295"/>
      <c r="R44" s="281"/>
      <c r="S44" s="281"/>
      <c r="T44" s="281"/>
      <c r="U44" s="281"/>
      <c r="V44" s="289"/>
      <c r="W44" s="289"/>
      <c r="X44" s="289"/>
      <c r="Y44" s="289"/>
    </row>
    <row r="45" spans="2:25" ht="15.75" x14ac:dyDescent="0.25">
      <c r="B45" s="250"/>
      <c r="C45" s="285"/>
      <c r="D45" s="247"/>
      <c r="E45" s="297"/>
      <c r="F45" s="283"/>
      <c r="G45" s="253"/>
      <c r="H45" s="254"/>
      <c r="I45" s="253" t="e">
        <f>G48-G21-G23-#REF!</f>
        <v>#REF!</v>
      </c>
      <c r="K45" s="289"/>
      <c r="L45" s="299"/>
      <c r="M45" s="281"/>
      <c r="N45" s="289"/>
      <c r="O45" s="294"/>
      <c r="P45" s="295"/>
      <c r="Q45" s="295"/>
      <c r="R45" s="281"/>
      <c r="S45" s="281"/>
      <c r="T45" s="281"/>
      <c r="U45" s="281"/>
      <c r="V45" s="289"/>
      <c r="W45" s="289"/>
      <c r="X45" s="289"/>
      <c r="Y45" s="289"/>
    </row>
    <row r="46" spans="2:25" ht="15.75" x14ac:dyDescent="0.25">
      <c r="B46" s="250"/>
      <c r="C46" s="285" t="s">
        <v>0</v>
      </c>
      <c r="D46" s="247"/>
      <c r="E46" s="286"/>
      <c r="F46" s="283"/>
      <c r="G46" s="253">
        <f>SUM(G21:G40)</f>
        <v>2863095.9845204055</v>
      </c>
      <c r="H46" s="254">
        <f t="shared" si="0"/>
        <v>4.0226146603728914</v>
      </c>
      <c r="I46" s="253">
        <f>G46*(1+0.1)</f>
        <v>3149405.5829724465</v>
      </c>
      <c r="K46" s="289"/>
      <c r="L46" s="300"/>
      <c r="M46" s="281"/>
      <c r="N46" s="289"/>
      <c r="O46" s="294"/>
      <c r="P46" s="295"/>
      <c r="Q46" s="295"/>
      <c r="R46" s="281"/>
      <c r="S46" s="281"/>
      <c r="T46" s="281"/>
      <c r="U46" s="281"/>
      <c r="V46" s="289"/>
      <c r="W46" s="289"/>
      <c r="X46" s="289"/>
      <c r="Y46" s="289"/>
    </row>
    <row r="47" spans="2:25" ht="15.75" x14ac:dyDescent="0.2">
      <c r="B47" s="250"/>
      <c r="C47" s="301" t="s">
        <v>151</v>
      </c>
      <c r="D47" s="302" t="s">
        <v>86</v>
      </c>
      <c r="E47" s="297">
        <v>0.03</v>
      </c>
      <c r="F47" s="303"/>
      <c r="G47" s="304">
        <f>(SUM(G41:G46))*E47</f>
        <v>112892.87953561216</v>
      </c>
      <c r="H47" s="305">
        <f t="shared" ref="H47:H52" si="4">G47/$L$20/$L$22</f>
        <v>0.13217758990236758</v>
      </c>
      <c r="I47" s="299"/>
      <c r="K47" s="289"/>
      <c r="L47" s="306"/>
      <c r="M47" s="293"/>
      <c r="N47" s="281"/>
      <c r="O47" s="294"/>
      <c r="P47" s="295"/>
      <c r="Q47" s="295"/>
      <c r="R47" s="281"/>
      <c r="S47" s="281"/>
      <c r="T47" s="281"/>
      <c r="U47" s="281"/>
      <c r="V47" s="289"/>
      <c r="W47" s="289"/>
      <c r="X47" s="289"/>
      <c r="Y47" s="289"/>
    </row>
    <row r="48" spans="2:25" ht="15.75" x14ac:dyDescent="0.25">
      <c r="B48" s="230"/>
      <c r="C48" s="285" t="s">
        <v>87</v>
      </c>
      <c r="D48" s="250"/>
      <c r="E48" s="230"/>
      <c r="F48" s="230"/>
      <c r="G48" s="307">
        <f>SUM(G41:G47)</f>
        <v>3875988.8640560177</v>
      </c>
      <c r="H48" s="308">
        <f t="shared" si="4"/>
        <v>4.5380972533146204</v>
      </c>
      <c r="I48" s="280">
        <v>87109134.633479342</v>
      </c>
      <c r="K48" s="289"/>
      <c r="L48" s="289"/>
      <c r="M48" s="293"/>
      <c r="N48" s="281"/>
      <c r="O48" s="294"/>
      <c r="P48" s="295"/>
      <c r="Q48" s="295"/>
      <c r="R48" s="281"/>
      <c r="S48" s="281"/>
      <c r="T48" s="281"/>
      <c r="U48" s="281"/>
      <c r="V48" s="289"/>
      <c r="W48" s="289"/>
      <c r="X48" s="289"/>
      <c r="Y48" s="289"/>
    </row>
    <row r="49" spans="1:25" ht="15.75" x14ac:dyDescent="0.25">
      <c r="B49" s="230"/>
      <c r="C49" s="285" t="s">
        <v>88</v>
      </c>
      <c r="D49" s="250" t="s">
        <v>86</v>
      </c>
      <c r="E49" s="309">
        <v>0.1</v>
      </c>
      <c r="F49" s="230"/>
      <c r="G49" s="310">
        <f>G48*E49</f>
        <v>387598.88640560181</v>
      </c>
      <c r="H49" s="308">
        <f t="shared" si="4"/>
        <v>0.45380972533146208</v>
      </c>
      <c r="I49" s="280">
        <v>13066370.195021901</v>
      </c>
      <c r="K49" s="289"/>
      <c r="L49" s="289"/>
      <c r="M49" s="293"/>
      <c r="N49" s="281"/>
      <c r="O49" s="294"/>
      <c r="P49" s="295"/>
      <c r="Q49" s="295"/>
      <c r="R49" s="281"/>
      <c r="S49" s="281"/>
      <c r="T49" s="281"/>
      <c r="U49" s="281"/>
      <c r="V49" s="289"/>
      <c r="W49" s="289"/>
      <c r="X49" s="289"/>
      <c r="Y49" s="289"/>
    </row>
    <row r="50" spans="1:25" ht="15.75" x14ac:dyDescent="0.25">
      <c r="B50" s="230"/>
      <c r="C50" s="285" t="s">
        <v>89</v>
      </c>
      <c r="D50" s="250"/>
      <c r="E50" s="311"/>
      <c r="F50" s="230"/>
      <c r="G50" s="312">
        <f>G49+G48</f>
        <v>4263587.7504616193</v>
      </c>
      <c r="H50" s="308">
        <f t="shared" si="4"/>
        <v>4.9919069786460835</v>
      </c>
      <c r="I50" s="280">
        <v>100175504.82850124</v>
      </c>
      <c r="M50" s="284"/>
      <c r="N50" s="295"/>
      <c r="O50" s="294"/>
      <c r="P50" s="281"/>
      <c r="Q50" s="281"/>
      <c r="R50" s="281"/>
      <c r="S50" s="281"/>
      <c r="T50" s="281"/>
      <c r="U50" s="281"/>
      <c r="V50" s="289"/>
      <c r="W50" s="289"/>
      <c r="X50" s="289"/>
      <c r="Y50" s="289"/>
    </row>
    <row r="51" spans="1:25" ht="15.75" x14ac:dyDescent="0.25">
      <c r="B51" s="230"/>
      <c r="C51" s="285" t="s">
        <v>90</v>
      </c>
      <c r="D51" s="250"/>
      <c r="E51" s="230"/>
      <c r="F51" s="230"/>
      <c r="G51" s="310">
        <f>G50*0.18</f>
        <v>767445.79508309148</v>
      </c>
      <c r="H51" s="308">
        <f t="shared" si="4"/>
        <v>0.89854325615629482</v>
      </c>
      <c r="I51" s="280">
        <v>18031590.869130224</v>
      </c>
      <c r="M51" s="284"/>
      <c r="N51" s="295"/>
      <c r="O51" s="294"/>
      <c r="P51" s="295"/>
      <c r="Q51" s="281"/>
      <c r="R51" s="281"/>
      <c r="S51" s="281"/>
      <c r="T51" s="281"/>
      <c r="U51" s="281"/>
      <c r="V51" s="289"/>
      <c r="W51" s="289"/>
      <c r="X51" s="289"/>
      <c r="Y51" s="289"/>
    </row>
    <row r="52" spans="1:25" ht="15.75" x14ac:dyDescent="0.25">
      <c r="B52" s="230"/>
      <c r="C52" s="296" t="s">
        <v>91</v>
      </c>
      <c r="D52" s="250"/>
      <c r="E52" s="230"/>
      <c r="F52" s="230"/>
      <c r="G52" s="310">
        <f>G51+G50</f>
        <v>5031033.5455447109</v>
      </c>
      <c r="H52" s="308">
        <f t="shared" si="4"/>
        <v>5.8904502348023779</v>
      </c>
      <c r="I52" s="280">
        <v>118207095.69763146</v>
      </c>
      <c r="L52" s="313"/>
      <c r="M52" s="284"/>
      <c r="N52" s="295"/>
      <c r="O52" s="314"/>
      <c r="P52" s="295"/>
      <c r="Q52" s="281"/>
      <c r="R52" s="281"/>
      <c r="S52" s="281"/>
      <c r="T52" s="281"/>
      <c r="U52" s="281"/>
      <c r="V52" s="315"/>
      <c r="W52" s="315"/>
      <c r="X52" s="315"/>
      <c r="Y52" s="289"/>
    </row>
    <row r="53" spans="1:25" x14ac:dyDescent="0.25">
      <c r="F53" s="316"/>
      <c r="G53" s="316"/>
      <c r="I53" s="280"/>
      <c r="L53" s="313"/>
      <c r="M53" s="284"/>
      <c r="N53" s="295"/>
      <c r="O53" s="294"/>
      <c r="P53" s="295"/>
      <c r="Q53" s="281"/>
      <c r="R53" s="281"/>
      <c r="S53" s="281"/>
      <c r="T53" s="281"/>
      <c r="U53" s="281"/>
      <c r="V53" s="317"/>
      <c r="W53" s="315"/>
      <c r="X53" s="315"/>
      <c r="Y53" s="289"/>
    </row>
    <row r="54" spans="1:25" ht="15.75" customHeight="1" x14ac:dyDescent="0.25">
      <c r="L54" s="300"/>
      <c r="M54" s="293"/>
      <c r="N54" s="281"/>
      <c r="O54" s="294"/>
      <c r="P54" s="295"/>
      <c r="Q54" s="281"/>
      <c r="R54" s="281"/>
      <c r="S54" s="281"/>
      <c r="T54" s="281"/>
      <c r="U54" s="281"/>
      <c r="V54" s="317"/>
      <c r="W54" s="315"/>
      <c r="X54" s="315"/>
      <c r="Y54" s="289"/>
    </row>
    <row r="55" spans="1:25" x14ac:dyDescent="0.25">
      <c r="C55" s="318"/>
      <c r="G55" s="269"/>
      <c r="L55" s="300"/>
      <c r="M55" s="293"/>
      <c r="N55" s="281"/>
      <c r="O55" s="294"/>
      <c r="P55" s="281"/>
      <c r="Q55" s="281"/>
      <c r="R55" s="281"/>
      <c r="S55" s="281"/>
      <c r="T55" s="281"/>
      <c r="U55" s="281"/>
      <c r="V55" s="317"/>
      <c r="W55" s="315"/>
      <c r="X55" s="315"/>
      <c r="Y55" s="289"/>
    </row>
    <row r="56" spans="1:25" hidden="1" x14ac:dyDescent="0.25">
      <c r="C56" s="228" t="s">
        <v>92</v>
      </c>
      <c r="L56" s="300"/>
      <c r="M56" s="300"/>
      <c r="N56" s="300"/>
      <c r="O56" s="319"/>
      <c r="P56" s="289"/>
      <c r="Q56" s="289"/>
      <c r="R56" s="289"/>
      <c r="S56" s="281"/>
      <c r="T56" s="281"/>
      <c r="U56" s="315"/>
      <c r="V56" s="317"/>
      <c r="W56" s="315"/>
      <c r="X56" s="315"/>
      <c r="Y56" s="289"/>
    </row>
    <row r="57" spans="1:25" hidden="1" x14ac:dyDescent="0.25">
      <c r="C57" s="249" t="s">
        <v>210</v>
      </c>
      <c r="D57" s="320" t="s">
        <v>93</v>
      </c>
      <c r="E57" s="249">
        <f>ROUNDUP((E23)/32,0)</f>
        <v>1</v>
      </c>
      <c r="L57" s="300"/>
      <c r="M57" s="300"/>
      <c r="N57" s="300"/>
      <c r="O57" s="321"/>
      <c r="P57" s="289"/>
      <c r="Q57" s="289"/>
      <c r="R57" s="289"/>
      <c r="S57" s="281"/>
      <c r="T57" s="281"/>
      <c r="U57" s="315"/>
      <c r="V57" s="322"/>
      <c r="W57" s="315"/>
      <c r="X57" s="315"/>
      <c r="Y57" s="289"/>
    </row>
    <row r="58" spans="1:25" hidden="1" x14ac:dyDescent="0.25">
      <c r="C58" s="249" t="s">
        <v>94</v>
      </c>
      <c r="D58" s="320"/>
      <c r="E58" s="249">
        <f>E57</f>
        <v>1</v>
      </c>
      <c r="L58" s="300"/>
      <c r="M58" s="300"/>
      <c r="N58" s="300"/>
      <c r="O58" s="319"/>
      <c r="P58" s="289"/>
      <c r="Q58" s="289"/>
      <c r="R58" s="289"/>
      <c r="S58" s="281"/>
      <c r="T58" s="281"/>
      <c r="U58" s="315"/>
      <c r="V58" s="317"/>
      <c r="W58" s="315"/>
      <c r="X58" s="315"/>
      <c r="Y58" s="289"/>
    </row>
    <row r="59" spans="1:25" hidden="1" x14ac:dyDescent="0.25">
      <c r="L59" s="289"/>
      <c r="M59" s="289"/>
      <c r="N59" s="289"/>
      <c r="O59" s="319"/>
      <c r="P59" s="289"/>
      <c r="Q59" s="289"/>
      <c r="R59" s="289"/>
      <c r="S59" s="281"/>
      <c r="T59" s="281"/>
      <c r="U59" s="315"/>
      <c r="V59" s="317"/>
      <c r="W59" s="315"/>
      <c r="X59" s="315"/>
      <c r="Y59" s="289"/>
    </row>
    <row r="60" spans="1:25" s="227" customFormat="1" hidden="1" x14ac:dyDescent="0.25">
      <c r="A60" s="225"/>
      <c r="B60" s="228"/>
      <c r="C60" s="228"/>
      <c r="E60" s="228"/>
      <c r="F60" s="228"/>
      <c r="G60" s="228"/>
      <c r="H60" s="228"/>
      <c r="I60" s="228"/>
      <c r="J60" s="228"/>
      <c r="K60" s="228"/>
      <c r="L60" s="289"/>
      <c r="M60" s="289"/>
      <c r="N60" s="289"/>
      <c r="O60" s="319"/>
      <c r="P60" s="289"/>
      <c r="Q60" s="289"/>
      <c r="R60" s="289"/>
      <c r="S60" s="281"/>
      <c r="T60" s="281"/>
      <c r="U60" s="315"/>
      <c r="V60" s="322"/>
      <c r="W60" s="315"/>
      <c r="X60" s="315"/>
      <c r="Y60" s="323"/>
    </row>
    <row r="61" spans="1:25" hidden="1" x14ac:dyDescent="0.25">
      <c r="C61" s="324" t="s">
        <v>211</v>
      </c>
      <c r="D61" s="325"/>
      <c r="E61" s="326"/>
      <c r="L61" s="289"/>
      <c r="M61" s="289"/>
      <c r="N61" s="289"/>
      <c r="O61" s="319"/>
      <c r="P61" s="289"/>
      <c r="Q61" s="289"/>
      <c r="R61" s="289"/>
      <c r="S61" s="281"/>
      <c r="T61" s="281"/>
      <c r="U61" s="315"/>
      <c r="V61" s="317"/>
      <c r="W61" s="315"/>
      <c r="X61" s="315"/>
      <c r="Y61" s="289"/>
    </row>
    <row r="62" spans="1:25" hidden="1" x14ac:dyDescent="0.25">
      <c r="C62" s="327" t="s">
        <v>92</v>
      </c>
      <c r="D62" s="328"/>
      <c r="E62" s="329"/>
      <c r="L62" s="289"/>
      <c r="M62" s="289"/>
      <c r="N62" s="289"/>
      <c r="O62" s="319"/>
      <c r="P62" s="289"/>
      <c r="Q62" s="289"/>
      <c r="R62" s="289"/>
      <c r="S62" s="281"/>
      <c r="T62" s="281"/>
      <c r="U62" s="289"/>
      <c r="V62" s="289"/>
      <c r="W62" s="289"/>
      <c r="X62" s="289"/>
      <c r="Y62" s="289"/>
    </row>
    <row r="63" spans="1:25" hidden="1" x14ac:dyDescent="0.25">
      <c r="C63" s="330" t="s">
        <v>212</v>
      </c>
      <c r="D63" s="320" t="s">
        <v>93</v>
      </c>
      <c r="E63" s="331">
        <f>ROUNDUP((E23)/32,0)</f>
        <v>1</v>
      </c>
      <c r="J63" s="280"/>
      <c r="L63" s="289"/>
      <c r="M63" s="289"/>
      <c r="N63" s="289"/>
      <c r="O63" s="319"/>
      <c r="P63" s="289"/>
      <c r="Q63" s="289"/>
      <c r="R63" s="289"/>
      <c r="S63" s="281"/>
      <c r="T63" s="281"/>
      <c r="U63" s="289"/>
      <c r="V63" s="289"/>
      <c r="W63" s="289"/>
      <c r="X63" s="289"/>
      <c r="Y63" s="289"/>
    </row>
    <row r="64" spans="1:25" hidden="1" x14ac:dyDescent="0.25">
      <c r="C64" s="332" t="s">
        <v>213</v>
      </c>
      <c r="D64" s="333" t="s">
        <v>93</v>
      </c>
      <c r="E64" s="334">
        <f>E63</f>
        <v>1</v>
      </c>
      <c r="L64" s="323"/>
      <c r="M64" s="323"/>
      <c r="N64" s="323"/>
      <c r="O64" s="335"/>
      <c r="P64" s="323"/>
      <c r="Q64" s="323"/>
      <c r="R64" s="323"/>
      <c r="S64" s="281"/>
      <c r="T64" s="281"/>
      <c r="U64" s="323"/>
      <c r="V64" s="323"/>
      <c r="W64" s="289"/>
      <c r="X64" s="289"/>
      <c r="Y64" s="289"/>
    </row>
    <row r="65" spans="3:25" hidden="1" x14ac:dyDescent="0.25">
      <c r="C65" s="336"/>
      <c r="D65" s="328"/>
      <c r="E65" s="329"/>
      <c r="L65" s="289"/>
      <c r="M65" s="289"/>
      <c r="N65" s="289"/>
      <c r="O65" s="319"/>
      <c r="P65" s="337"/>
      <c r="Q65" s="289"/>
      <c r="R65" s="289"/>
      <c r="S65" s="281"/>
      <c r="T65" s="281"/>
      <c r="U65" s="289"/>
      <c r="V65" s="289"/>
      <c r="W65" s="289"/>
      <c r="X65" s="289"/>
      <c r="Y65" s="289"/>
    </row>
    <row r="66" spans="3:25" hidden="1" x14ac:dyDescent="0.25">
      <c r="C66" s="327" t="s">
        <v>95</v>
      </c>
      <c r="D66" s="328"/>
      <c r="E66" s="329"/>
      <c r="O66" s="319"/>
      <c r="P66" s="337"/>
      <c r="Q66" s="289"/>
      <c r="R66" s="289"/>
      <c r="S66" s="281"/>
      <c r="T66" s="281"/>
      <c r="U66" s="289"/>
      <c r="V66" s="289"/>
      <c r="W66" s="289"/>
      <c r="X66" s="289"/>
      <c r="Y66" s="289"/>
    </row>
    <row r="67" spans="3:25" hidden="1" x14ac:dyDescent="0.25">
      <c r="C67" s="338" t="s">
        <v>214</v>
      </c>
      <c r="D67" s="320" t="s">
        <v>93</v>
      </c>
      <c r="E67" s="331">
        <f>ROUNDUP(E21/27/16,0)</f>
        <v>1</v>
      </c>
      <c r="O67" s="319"/>
      <c r="P67" s="337"/>
      <c r="Q67" s="289"/>
      <c r="R67" s="289"/>
      <c r="S67" s="281"/>
      <c r="T67" s="281"/>
      <c r="U67" s="289"/>
      <c r="V67" s="289"/>
      <c r="W67" s="289"/>
      <c r="X67" s="289"/>
      <c r="Y67" s="289"/>
    </row>
    <row r="68" spans="3:25" hidden="1" x14ac:dyDescent="0.25">
      <c r="C68" s="339" t="s">
        <v>215</v>
      </c>
      <c r="D68" s="320" t="s">
        <v>93</v>
      </c>
      <c r="E68" s="331">
        <f>ROUNDUP(D2/1000*3,0)</f>
        <v>1</v>
      </c>
      <c r="O68" s="243"/>
      <c r="P68" s="242"/>
      <c r="Q68" s="289"/>
      <c r="R68" s="289"/>
      <c r="S68" s="281"/>
      <c r="T68" s="281"/>
      <c r="U68" s="289"/>
      <c r="V68" s="289"/>
      <c r="W68" s="289"/>
      <c r="X68" s="289"/>
      <c r="Y68" s="289"/>
    </row>
    <row r="69" spans="3:25" ht="32.25" hidden="1" customHeight="1" x14ac:dyDescent="0.25">
      <c r="C69" s="338" t="s">
        <v>216</v>
      </c>
      <c r="D69" s="560" t="s">
        <v>93</v>
      </c>
      <c r="E69" s="562" t="e">
        <f>IF(E76&gt;1,0,1)</f>
        <v>#REF!</v>
      </c>
      <c r="O69" s="340"/>
      <c r="P69" s="341"/>
      <c r="Q69" s="289"/>
      <c r="R69" s="289"/>
      <c r="S69" s="281"/>
      <c r="T69" s="281"/>
      <c r="U69" s="289"/>
      <c r="V69" s="289"/>
      <c r="W69" s="289"/>
      <c r="X69" s="289"/>
      <c r="Y69" s="289"/>
    </row>
    <row r="70" spans="3:25" ht="32.25" hidden="1" customHeight="1" x14ac:dyDescent="0.25">
      <c r="C70" s="338" t="s">
        <v>100</v>
      </c>
      <c r="D70" s="561"/>
      <c r="E70" s="563"/>
      <c r="O70" s="340"/>
      <c r="P70" s="341"/>
      <c r="Q70" s="289"/>
      <c r="R70" s="289"/>
      <c r="S70" s="281"/>
      <c r="T70" s="281"/>
      <c r="U70" s="289"/>
      <c r="V70" s="289"/>
      <c r="W70" s="289"/>
      <c r="X70" s="289"/>
      <c r="Y70" s="289"/>
    </row>
    <row r="71" spans="3:25" hidden="1" x14ac:dyDescent="0.25">
      <c r="C71" s="338" t="s">
        <v>217</v>
      </c>
      <c r="D71" s="561"/>
      <c r="E71" s="563"/>
      <c r="O71" s="342"/>
      <c r="P71" s="343"/>
      <c r="S71" s="281"/>
      <c r="T71" s="281"/>
    </row>
    <row r="72" spans="3:25" ht="35.25" hidden="1" customHeight="1" x14ac:dyDescent="0.25">
      <c r="C72" s="338" t="s">
        <v>218</v>
      </c>
      <c r="D72" s="561"/>
      <c r="E72" s="563"/>
      <c r="O72" s="342"/>
      <c r="P72" s="343"/>
      <c r="S72" s="281"/>
      <c r="T72" s="281"/>
    </row>
    <row r="73" spans="3:25" ht="18" hidden="1" customHeight="1" x14ac:dyDescent="0.25">
      <c r="C73" s="338" t="s">
        <v>219</v>
      </c>
      <c r="D73" s="561"/>
      <c r="E73" s="563"/>
      <c r="O73" s="342"/>
      <c r="P73" s="343"/>
      <c r="S73" s="281"/>
      <c r="T73" s="281"/>
    </row>
    <row r="74" spans="3:25" ht="15.75" hidden="1" customHeight="1" x14ac:dyDescent="0.25">
      <c r="C74" s="339" t="s">
        <v>220</v>
      </c>
      <c r="D74" s="344" t="s">
        <v>93</v>
      </c>
      <c r="E74" s="345">
        <v>0</v>
      </c>
      <c r="O74" s="342"/>
      <c r="P74" s="346"/>
      <c r="S74" s="281"/>
      <c r="T74" s="281"/>
    </row>
    <row r="75" spans="3:25" hidden="1" x14ac:dyDescent="0.25">
      <c r="C75" s="339" t="s">
        <v>221</v>
      </c>
      <c r="D75" s="560" t="s">
        <v>93</v>
      </c>
      <c r="E75" s="347">
        <f>E34</f>
        <v>1</v>
      </c>
      <c r="S75" s="281"/>
      <c r="T75" s="281"/>
    </row>
    <row r="76" spans="3:25" hidden="1" x14ac:dyDescent="0.25">
      <c r="C76" s="330" t="s">
        <v>212</v>
      </c>
      <c r="D76" s="564"/>
      <c r="E76" s="348" t="e">
        <f>#REF!</f>
        <v>#REF!</v>
      </c>
      <c r="S76" s="281"/>
      <c r="T76" s="281"/>
    </row>
    <row r="77" spans="3:25" hidden="1" x14ac:dyDescent="0.25">
      <c r="C77" s="349" t="s">
        <v>222</v>
      </c>
      <c r="D77" s="344" t="s">
        <v>93</v>
      </c>
      <c r="E77" s="350">
        <v>1</v>
      </c>
      <c r="S77" s="281"/>
      <c r="T77" s="281"/>
    </row>
    <row r="78" spans="3:25" ht="15.75" hidden="1" thickBot="1" x14ac:dyDescent="0.3">
      <c r="C78" s="351" t="s">
        <v>223</v>
      </c>
      <c r="D78" s="352" t="s">
        <v>93</v>
      </c>
      <c r="E78" s="353" t="e">
        <f>SUM(E67:E77)</f>
        <v>#REF!</v>
      </c>
      <c r="S78" s="281"/>
      <c r="T78" s="281"/>
    </row>
    <row r="79" spans="3:25" ht="12.75" hidden="1" customHeight="1" x14ac:dyDescent="0.25">
      <c r="S79" s="281"/>
      <c r="T79" s="281"/>
    </row>
    <row r="80" spans="3:25" hidden="1" x14ac:dyDescent="0.25">
      <c r="S80" s="281"/>
      <c r="T80" s="281"/>
    </row>
    <row r="81" spans="2:25" hidden="1" x14ac:dyDescent="0.25">
      <c r="S81" s="281"/>
      <c r="T81" s="281"/>
    </row>
    <row r="82" spans="2:25" hidden="1" x14ac:dyDescent="0.25">
      <c r="C82" s="228" t="s">
        <v>224</v>
      </c>
      <c r="S82" s="281"/>
      <c r="T82" s="281"/>
    </row>
    <row r="83" spans="2:25" hidden="1" x14ac:dyDescent="0.25">
      <c r="C83" s="228" t="s">
        <v>97</v>
      </c>
      <c r="S83" s="281"/>
      <c r="T83" s="281"/>
    </row>
    <row r="84" spans="2:25" hidden="1" x14ac:dyDescent="0.25">
      <c r="C84" s="228" t="s">
        <v>98</v>
      </c>
      <c r="S84" s="281"/>
      <c r="T84" s="281"/>
    </row>
    <row r="85" spans="2:25" hidden="1" x14ac:dyDescent="0.25">
      <c r="C85" s="228" t="s">
        <v>99</v>
      </c>
      <c r="S85" s="281"/>
      <c r="T85" s="281"/>
    </row>
    <row r="86" spans="2:25" x14ac:dyDescent="0.25">
      <c r="C86" s="354" t="s">
        <v>225</v>
      </c>
      <c r="S86" s="281"/>
      <c r="T86" s="281"/>
    </row>
    <row r="87" spans="2:25" x14ac:dyDescent="0.25">
      <c r="C87" s="354" t="s">
        <v>226</v>
      </c>
      <c r="S87" s="281"/>
      <c r="T87" s="281"/>
    </row>
    <row r="88" spans="2:25" x14ac:dyDescent="0.25">
      <c r="C88" s="354" t="s">
        <v>227</v>
      </c>
      <c r="F88" s="227"/>
      <c r="G88" s="227"/>
      <c r="S88" s="281"/>
      <c r="T88" s="281"/>
    </row>
    <row r="89" spans="2:25" ht="15.75" x14ac:dyDescent="0.25">
      <c r="C89" s="228" t="s">
        <v>228</v>
      </c>
      <c r="D89" s="310">
        <f>G50</f>
        <v>4263587.7504616193</v>
      </c>
      <c r="F89" s="227"/>
      <c r="G89" s="227"/>
      <c r="S89" s="281"/>
      <c r="T89" s="281"/>
    </row>
    <row r="90" spans="2:25" x14ac:dyDescent="0.25">
      <c r="S90" s="281"/>
      <c r="T90" s="281"/>
    </row>
    <row r="91" spans="2:25" x14ac:dyDescent="0.25">
      <c r="C91" s="228" t="s">
        <v>229</v>
      </c>
      <c r="S91" s="281"/>
      <c r="T91" s="281"/>
    </row>
    <row r="92" spans="2:25" x14ac:dyDescent="0.25">
      <c r="C92" s="228" t="s">
        <v>230</v>
      </c>
      <c r="D92" s="355">
        <v>35300</v>
      </c>
      <c r="S92" s="281"/>
      <c r="T92" s="281"/>
    </row>
    <row r="93" spans="2:25" x14ac:dyDescent="0.25">
      <c r="C93" s="228" t="s">
        <v>231</v>
      </c>
      <c r="D93" s="356">
        <f>D92*0.33*49.378</f>
        <v>575204.32200000004</v>
      </c>
      <c r="S93" s="281"/>
      <c r="T93" s="281"/>
    </row>
    <row r="94" spans="2:25" x14ac:dyDescent="0.25">
      <c r="S94" s="281"/>
      <c r="T94" s="281"/>
    </row>
    <row r="95" spans="2:25" x14ac:dyDescent="0.25">
      <c r="C95" s="228" t="s">
        <v>232</v>
      </c>
    </row>
    <row r="96" spans="2:25" s="225" customFormat="1" ht="12.75" customHeight="1" x14ac:dyDescent="0.25">
      <c r="B96" s="228"/>
      <c r="C96" s="228" t="s">
        <v>233</v>
      </c>
      <c r="D96" s="355">
        <v>12000</v>
      </c>
      <c r="E96" s="228"/>
      <c r="F96" s="228"/>
      <c r="G96" s="228"/>
      <c r="H96" s="228"/>
      <c r="I96" s="228"/>
      <c r="J96" s="228"/>
      <c r="K96" s="228"/>
      <c r="L96" s="228"/>
      <c r="M96" s="228"/>
      <c r="N96" s="228"/>
      <c r="O96" s="229"/>
      <c r="P96" s="228"/>
      <c r="Q96" s="228"/>
      <c r="R96" s="228"/>
      <c r="S96" s="228"/>
      <c r="T96" s="228"/>
      <c r="U96" s="228"/>
      <c r="V96" s="228"/>
      <c r="W96" s="228"/>
      <c r="X96" s="228"/>
      <c r="Y96" s="228"/>
    </row>
    <row r="97" spans="2:25" s="225" customFormat="1" ht="13.5" customHeight="1" x14ac:dyDescent="0.25">
      <c r="B97" s="228"/>
      <c r="C97" s="228" t="s">
        <v>234</v>
      </c>
      <c r="D97" s="356">
        <f>(D92-D96)/1</f>
        <v>23300</v>
      </c>
      <c r="E97" s="228"/>
      <c r="F97" s="228"/>
      <c r="G97" s="228"/>
      <c r="H97" s="228"/>
      <c r="I97" s="228"/>
      <c r="J97" s="228"/>
      <c r="K97" s="228"/>
      <c r="L97" s="228"/>
      <c r="M97" s="228"/>
      <c r="N97" s="228"/>
      <c r="O97" s="229"/>
      <c r="P97" s="228"/>
      <c r="Q97" s="228"/>
      <c r="R97" s="228"/>
      <c r="S97" s="228"/>
      <c r="T97" s="228"/>
      <c r="U97" s="228"/>
      <c r="V97" s="228"/>
      <c r="W97" s="228"/>
      <c r="X97" s="228"/>
      <c r="Y97" s="228"/>
    </row>
    <row r="98" spans="2:25" x14ac:dyDescent="0.25">
      <c r="C98" s="228" t="s">
        <v>231</v>
      </c>
      <c r="D98" s="356">
        <f>D97*0.27*49.378</f>
        <v>310636.99800000002</v>
      </c>
    </row>
    <row r="99" spans="2:25" x14ac:dyDescent="0.25">
      <c r="C99" s="228" t="s">
        <v>235</v>
      </c>
      <c r="D99" s="356">
        <f>D93-D98</f>
        <v>264567.32400000002</v>
      </c>
    </row>
    <row r="101" spans="2:25" x14ac:dyDescent="0.25">
      <c r="C101" s="228" t="s">
        <v>236</v>
      </c>
      <c r="D101" s="227">
        <f>G50/D99</f>
        <v>16.115322504685494</v>
      </c>
    </row>
  </sheetData>
  <mergeCells count="4">
    <mergeCell ref="O18:O19"/>
    <mergeCell ref="D69:D73"/>
    <mergeCell ref="E69:E73"/>
    <mergeCell ref="D75:D76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Свод</vt:lpstr>
      <vt:lpstr>ПРАЙС ЮСТ</vt:lpstr>
      <vt:lpstr>Мегафон</vt:lpstr>
      <vt:lpstr>САФМАР</vt:lpstr>
      <vt:lpstr>№А4 (ES)</vt:lpstr>
      <vt:lpstr>№А6 (LiON)</vt:lpstr>
      <vt:lpstr>№А6 ES3.0 (LiON)</vt:lpstr>
      <vt:lpstr>ES 5.0 (LiON) </vt:lpstr>
      <vt:lpstr>Дима 1</vt:lpstr>
      <vt:lpstr>Дима 2</vt:lpstr>
      <vt:lpstr>Комплекты - Д4</vt:lpstr>
      <vt:lpstr>Стоимость упаковки</vt:lpstr>
      <vt:lpstr>Себестоимость оборудования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2024-08-07T08:14:15Z</dcterms:modified>
</cp:coreProperties>
</file>